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6" yWindow="65526" windowWidth="11740" windowHeight="6050" activeTab="0"/>
  </bookViews>
  <sheets>
    <sheet name="Main" sheetId="1" r:id="rId1"/>
    <sheet name="Area&amp;PPop" sheetId="2" r:id="rId2"/>
    <sheet name="Yld&amp;Irr" sheetId="3" r:id="rId3"/>
    <sheet name="ProdCosts" sheetId="4" r:id="rId4"/>
    <sheet name="Limits" sheetId="5" r:id="rId5"/>
  </sheets>
  <definedNames>
    <definedName name="AET">'Main'!$F$7</definedName>
    <definedName name="AETRDef">'Yld&amp;Irr'!$C$36</definedName>
    <definedName name="Carea">'Main'!$B$9</definedName>
    <definedName name="CEPct">'ProdCosts'!$B$2</definedName>
    <definedName name="CHPrice">'Main'!$B$14</definedName>
    <definedName name="GPM">'Main'!$B$7</definedName>
    <definedName name="Haul">'ProdCosts'!$B$10</definedName>
    <definedName name="HBase">'ProdCosts'!$B$7</definedName>
    <definedName name="HERate">'ProdCosts'!$B$9</definedName>
    <definedName name="HLevel">'ProdCosts'!$B$8</definedName>
    <definedName name="IAmt">'Main'!$F$14</definedName>
    <definedName name="IC">'Main'!$F$12</definedName>
    <definedName name="IFuel">'ProdCosts'!$B$11</definedName>
    <definedName name="IntR">'ProdCosts'!$B$13</definedName>
    <definedName name="IRepair">'ProdCosts'!$B$12</definedName>
    <definedName name="IrrDef">'Yld&amp;Irr'!$C$17</definedName>
    <definedName name="NPrice">'ProdCosts'!$B$4</definedName>
    <definedName name="NRate">'ProdCosts'!$B$3</definedName>
    <definedName name="NRInit">'Main'!$G$16</definedName>
    <definedName name="NRRA">'Main'!$B$15</definedName>
    <definedName name="OVC">'ProdCosts'!$B$29</definedName>
    <definedName name="p_acre">'Area&amp;PPop'!$A$18:$A$27</definedName>
    <definedName name="PPop">'Main'!$B$12</definedName>
    <definedName name="PPrice">'ProdCosts'!$B$6</definedName>
    <definedName name="Prate">'ProdCosts'!$B$5</definedName>
    <definedName name="Rain">'Main'!$F$8</definedName>
    <definedName name="Rarea">'Main'!$B$10</definedName>
    <definedName name="SensCarea">'Area&amp;PPop'!$B$6:$L$6</definedName>
    <definedName name="SensIAmt">'Area&amp;PPop'!$B$11:$L$11</definedName>
    <definedName name="SensIC">'Area&amp;PPop'!$B$8:$L$8</definedName>
    <definedName name="SensIrrDef">'Area&amp;PPop'!$B$13:$L$13</definedName>
    <definedName name="SensPPop">'Area&amp;PPop'!$A$18:$A$44</definedName>
    <definedName name="SPrice">'Main'!$B$13</definedName>
    <definedName name="Tarea">'Main'!$B$8</definedName>
    <definedName name="Yld">'Main'!$F$13</definedName>
  </definedNames>
  <calcPr fullCalcOnLoad="1"/>
</workbook>
</file>

<file path=xl/sharedStrings.xml><?xml version="1.0" encoding="utf-8"?>
<sst xmlns="http://schemas.openxmlformats.org/spreadsheetml/2006/main" count="242" uniqueCount="201">
  <si>
    <t>SDI system flowrate, gpm</t>
  </si>
  <si>
    <t>Total SDI field area, acres</t>
  </si>
  <si>
    <t>Planned irrigated corn area, acres</t>
  </si>
  <si>
    <t>Remaining field area, acres</t>
  </si>
  <si>
    <t xml:space="preserve">  For example</t>
  </si>
  <si>
    <t xml:space="preserve">number of corn acres and intended plant population for subsurface drip irrigation (SDI). </t>
  </si>
  <si>
    <t xml:space="preserve">This template allows western US Great Plains producers to evaluate their planned </t>
  </si>
  <si>
    <t>Suggested</t>
  </si>
  <si>
    <t>120-day summer rain, inches</t>
  </si>
  <si>
    <t>Net returns for remaining area, $/acres</t>
  </si>
  <si>
    <t>Target plant population, plants/acre</t>
  </si>
  <si>
    <t xml:space="preserve">       Lo, 20   Avg, 23   Hi, 27</t>
  </si>
  <si>
    <t xml:space="preserve">       Lo, 7   Avg, 12   Hi, 16</t>
  </si>
  <si>
    <t>Corn water use (ET), inches</t>
  </si>
  <si>
    <t>Corn grain yield (bu/acre)</t>
  </si>
  <si>
    <t>Irrigation amount (inches)</t>
  </si>
  <si>
    <t>Irrigation capacity (in/day)</t>
  </si>
  <si>
    <t>Irrigation capacity calculation</t>
  </si>
  <si>
    <t>IC = 12 x ((GPM x 60 x 24/ 7.48) / (Carea x 43560))</t>
  </si>
  <si>
    <t xml:space="preserve">    Where </t>
  </si>
  <si>
    <t>IC = Irrigation capacity in inches/day</t>
  </si>
  <si>
    <t>GPM = Irrigation system flowrate in gal/min</t>
  </si>
  <si>
    <t>Carea = Planned corn area in acres</t>
  </si>
  <si>
    <t xml:space="preserve">Corn grain yield calculation </t>
  </si>
  <si>
    <t>Field characteristics &amp; cropping plan</t>
  </si>
  <si>
    <t xml:space="preserve">    Where</t>
  </si>
  <si>
    <t>Yld = Corn grain yield in bushels/acre</t>
  </si>
  <si>
    <t>AET = Seasonal corn water use from weather data in inches</t>
  </si>
  <si>
    <t>Rain = Seasonal rainfall during 120 day season (May 15 -Sept 11) in inches</t>
  </si>
  <si>
    <t xml:space="preserve">IAmt = Irrigation amount in inches and as calculated below </t>
  </si>
  <si>
    <t>PPop = Target plant population in plants/acre</t>
  </si>
  <si>
    <t>Note: IC can be increased by reducing corn acres or increasing system flowrate.</t>
  </si>
  <si>
    <t>Note: This model is based on 5 years of data from KSU Northwest Research-Extension Center, Colby, Kansas.</t>
  </si>
  <si>
    <t>bu/acre</t>
  </si>
  <si>
    <t>Irrigation amount calculation</t>
  </si>
  <si>
    <t>IAmt = Irrigation amount in inches.</t>
  </si>
  <si>
    <t xml:space="preserve">         The third term reflects higher PPop may increase yield.</t>
  </si>
  <si>
    <t xml:space="preserve">         The fourth and last term reflects higher PPop may decrease yield under insufficient irrigation.</t>
  </si>
  <si>
    <t xml:space="preserve">Note: This model attempts to calculate IAmt based on the potential IC as related to a potential need (AET-Rain) </t>
  </si>
  <si>
    <t>Note: This function is by definition and thus requires no regression procedures.</t>
  </si>
  <si>
    <t>Note: Using this model allows an estimated irrigation amount to be projected before the season begins.</t>
  </si>
  <si>
    <t xml:space="preserve">Note: This model is based on the same SDI corn study as Yield model. </t>
  </si>
  <si>
    <t>inches</t>
  </si>
  <si>
    <t>Note: Higher ET may result in higher yield when adequately irrigated.</t>
  </si>
  <si>
    <t xml:space="preserve">Anticipated weather </t>
  </si>
  <si>
    <t>Seed price, $/1000 seeds</t>
  </si>
  <si>
    <t xml:space="preserve">        24 to 35000</t>
  </si>
  <si>
    <t>Herbicide, $/acre</t>
  </si>
  <si>
    <t>Insecticide, $/acre</t>
  </si>
  <si>
    <t>Crop consulting, $/acre</t>
  </si>
  <si>
    <t xml:space="preserve">Crop insurance, $/acre </t>
  </si>
  <si>
    <t>Drying cost, $/acre</t>
  </si>
  <si>
    <t>Miscellaneous costs, $/acre</t>
  </si>
  <si>
    <t>Other non-fieldwork labor, $/acre</t>
  </si>
  <si>
    <t>Irrigation labor, $/acre</t>
  </si>
  <si>
    <t>Fuel and oil for pumping, $/inch</t>
  </si>
  <si>
    <t>Irrigation maintenance and repairs, $/inch</t>
  </si>
  <si>
    <t>Nitrogen fertilizer, lb/bushel of yield</t>
  </si>
  <si>
    <t>Phosphorus fertilizer, lb/bushel of yield</t>
  </si>
  <si>
    <t>Non-harvest field operations, $/acre</t>
  </si>
  <si>
    <t>Harvest base charge, $/acre</t>
  </si>
  <si>
    <t>Yield level for extra harvest charge, bu/acre</t>
  </si>
  <si>
    <t xml:space="preserve">Rate for extra harvest charge, $/bu </t>
  </si>
  <si>
    <t>Hauling charge, $/bu</t>
  </si>
  <si>
    <t>Costs and factors that change with yield and irrigation levels</t>
  </si>
  <si>
    <t>Other variable costs</t>
  </si>
  <si>
    <t>Total other variable costs</t>
  </si>
  <si>
    <t>Phosphorus fertilizer, $/lb</t>
  </si>
  <si>
    <t xml:space="preserve">Note: The factors above vary with yield and irrigation and thus must be </t>
  </si>
  <si>
    <t>transferred as factors to Main Tab rather than just a total of costs.</t>
  </si>
  <si>
    <r>
      <t>1/2 yr. interest for these other variable costs, $/acre</t>
    </r>
    <r>
      <rPr>
        <sz val="10"/>
        <rFont val="Arial"/>
        <family val="2"/>
      </rPr>
      <t xml:space="preserve"> </t>
    </r>
  </si>
  <si>
    <r>
      <t>Interest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rate, % </t>
    </r>
  </si>
  <si>
    <t>Corn selling price, $/bushels</t>
  </si>
  <si>
    <t>Corn seed emergence, %</t>
  </si>
  <si>
    <r>
      <t>IAmt =  (6.9 x (IC x (AET - Rain))) - (0.681x (IC x (AET - Rain))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</si>
  <si>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Note: The Rsquare is 0.91 and Standard Error is 1.3 inches for this model. </t>
  </si>
  <si>
    <t xml:space="preserve">         - (0.000273 x ((AET - (Rain + IAmt)) x PPop))</t>
  </si>
  <si>
    <t xml:space="preserve">         The first and second term represents the effect of whether irrigation is sufficient or not.</t>
  </si>
  <si>
    <t>Note: For individuals wanting to use an alternative model, you may change text in Lines 9-26 on this Tab</t>
  </si>
  <si>
    <r>
      <t>Yld = 157 + (5.335 x (AET - (Rain + IAmt))) - (0.2932 x (AET - (Rain + IAmt))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+ (0.00337 x PPop)</t>
    </r>
  </si>
  <si>
    <t>Note: The model is based on corn grown with SDI on deep soils.  Applicability to other irrigation systems is unknown.</t>
  </si>
  <si>
    <t>Using the current data on the Main Tab,  (AET - (Rain + IAmt) =</t>
  </si>
  <si>
    <t xml:space="preserve">Note: The Rsquare is 0.90 and Standard Error is 14 bu/acre for this model. </t>
  </si>
  <si>
    <t>Note: Weather data outside of ranges on Main Tab may cause errors. Plant populations ranged from 24-35 thousand.</t>
  </si>
  <si>
    <t xml:space="preserve">                Using the current data on the Main Tab, the projected yield is =</t>
  </si>
  <si>
    <t xml:space="preserve">                Using the current data on the Main Tab, the quantity (AET - Rain) =</t>
  </si>
  <si>
    <t xml:space="preserve">                Using the current data on the Main Tab, the irrigation amount, IAmt, =</t>
  </si>
  <si>
    <t>Where If (AET - (Rain + IAmt)) is less than -2.5 then (AET - (Rain + IAmt)) = -2.5     This term is IrrDef.</t>
  </si>
  <si>
    <t>Where If (AET - Rain) is less than 0 then (AET-Rain) is set equal to 0.   This term is AETRDef.</t>
  </si>
  <si>
    <t xml:space="preserve">         and then change actual formula in Cell C18. No changes required on Main Tab.</t>
  </si>
  <si>
    <t>Sensitivity analysis for planted corn area and plant population</t>
  </si>
  <si>
    <t xml:space="preserve">Plant </t>
  </si>
  <si>
    <t>Population</t>
  </si>
  <si>
    <t>Planted corn area, % of total field acres from Main Tab which was</t>
  </si>
  <si>
    <t>acres</t>
  </si>
  <si>
    <t xml:space="preserve">Planted corn area, acres </t>
  </si>
  <si>
    <t>p/acre</t>
  </si>
  <si>
    <t>Target</t>
  </si>
  <si>
    <t>GPM</t>
  </si>
  <si>
    <t xml:space="preserve">Irrigation capacity, in/day, for the planted corn area and system flowrate of </t>
  </si>
  <si>
    <t xml:space="preserve">Projected irrigation amt., inches, for the planted corn area and flowrate of </t>
  </si>
  <si>
    <t xml:space="preserve">A calculated irrigation deficit used internally for yield calculation.  Only relevant in that context. </t>
  </si>
  <si>
    <t>gpm</t>
  </si>
  <si>
    <t>Corn yield in bu/acre for system flowrate of</t>
  </si>
  <si>
    <t xml:space="preserve">Anticipated weather from MainTab, ET, in. = </t>
  </si>
  <si>
    <t>and Summer (120 day) rain, in.=</t>
  </si>
  <si>
    <t>Net Returns, $/acre to land, irrigation and management for flowrate of</t>
  </si>
  <si>
    <t>Summary of sensitivity analysis for planted corn area and plant population</t>
  </si>
  <si>
    <t>Based on these input data from Main Tab:</t>
  </si>
  <si>
    <t>The sensitivity analysis on target plant population and area to be planted to corn suggests:</t>
  </si>
  <si>
    <t xml:space="preserve">    Use these plans:</t>
  </si>
  <si>
    <t xml:space="preserve">           Planted corn area, acres</t>
  </si>
  <si>
    <t xml:space="preserve">           Emergence %</t>
  </si>
  <si>
    <t xml:space="preserve">           Target plant population, plants/acre</t>
  </si>
  <si>
    <t xml:space="preserve">           Corn seed requirement, seeds/acre</t>
  </si>
  <si>
    <t>Irrigation capacity, in/day</t>
  </si>
  <si>
    <t>Projected irrigation amount, in.</t>
  </si>
  <si>
    <t>Required Nitrogen, lb/acre</t>
  </si>
  <si>
    <t>Required Nitrogen, lb/bushel</t>
  </si>
  <si>
    <t>Required Phosphorus, lb/bushel</t>
  </si>
  <si>
    <t xml:space="preserve">           Net returns*, $/total acres</t>
  </si>
  <si>
    <t xml:space="preserve">           Projected corn grain yield, bu/acre</t>
  </si>
  <si>
    <t xml:space="preserve">                  * to land, irrigation, and management</t>
  </si>
  <si>
    <r>
      <t xml:space="preserve">Seed price, $/1000 seeds                        </t>
    </r>
    <r>
      <rPr>
        <i/>
        <sz val="10"/>
        <rFont val="Arial"/>
        <family val="2"/>
      </rPr>
      <t>Higher price seed might lower your plans for plant population or corn acres.</t>
    </r>
  </si>
  <si>
    <r>
      <t xml:space="preserve">Corn selling price, $/bushels                    </t>
    </r>
    <r>
      <rPr>
        <i/>
        <sz val="10"/>
        <rFont val="Arial"/>
        <family val="2"/>
      </rPr>
      <t xml:space="preserve">Lower corn harvest prices might lower your plans for plant population or corn acres. </t>
    </r>
  </si>
  <si>
    <t>If the results appear too high, you may wish to reconsider the following items on the Main Tab</t>
  </si>
  <si>
    <r>
      <t xml:space="preserve">Net returns for remaining area, $/acres    </t>
    </r>
    <r>
      <rPr>
        <i/>
        <sz val="10"/>
        <rFont val="Arial"/>
        <family val="2"/>
      </rPr>
      <t xml:space="preserve"> Better net returns on this area might lower your plans for plant population or corn acres. </t>
    </r>
  </si>
  <si>
    <r>
      <t xml:space="preserve">Corn water use (ET), inches                  </t>
    </r>
    <r>
      <rPr>
        <i/>
        <sz val="10"/>
        <rFont val="Arial"/>
        <family val="2"/>
      </rPr>
      <t xml:space="preserve">  Hotter and drier summer might lower your plans for plant population or corn acres.          </t>
    </r>
  </si>
  <si>
    <r>
      <t xml:space="preserve">120-day summer rain, inches                 </t>
    </r>
    <r>
      <rPr>
        <i/>
        <sz val="10"/>
        <rFont val="Arial"/>
        <family val="2"/>
      </rPr>
      <t xml:space="preserve"> Hotter and drier summer might lower your plans for plant population or corn acres.          </t>
    </r>
  </si>
  <si>
    <t xml:space="preserve">    for a planted corn acres of </t>
  </si>
  <si>
    <t xml:space="preserve">and a plant population, plants/acre, </t>
  </si>
  <si>
    <t xml:space="preserve">    This evaluation is only suitable for deep silt loam soils with good soil water profiles at planting from overwinter </t>
  </si>
  <si>
    <t xml:space="preserve">    precipitation or preseason irrigation.  Only use carefully-planned preseason irrigation when necessary.</t>
  </si>
  <si>
    <t>If Net Return differences between your initial plan and the alternative plan are low there is very little reason to change plans.</t>
  </si>
  <si>
    <t>Note: There are essentially four factors in the model plus the constant 157.</t>
  </si>
  <si>
    <t>Corn grain yield and irrigation functions are explained in detail on the Yld&amp;Irr Tab below.</t>
  </si>
  <si>
    <t>For more details on the results, you may wish to observe the sensitivity analyses results on the Area&amp;Ppop Tab below.</t>
  </si>
  <si>
    <t>Variable costs of production and associated factors are listed on ProdCosts Tab below.</t>
  </si>
  <si>
    <t xml:space="preserve">    but that planting scheme would have a net returns </t>
  </si>
  <si>
    <t xml:space="preserve">          and land are not included in the analysis.</t>
  </si>
  <si>
    <t xml:space="preserve">Note: The fixed costs of the irrigation system </t>
  </si>
  <si>
    <t>Template is appropriate for US Western Great Plains corn production.</t>
  </si>
  <si>
    <t>Analysis assumes that production is on deep silt loam soils.</t>
  </si>
  <si>
    <t>Analysis assumes that soil water profile is recharged by winter precipitation or preseason irrigation.</t>
  </si>
  <si>
    <t xml:space="preserve">    Based on these assumptions, these limits apply.</t>
  </si>
  <si>
    <t>Model is unlikely to work accurately on shallow or sandy soils.</t>
  </si>
  <si>
    <t>Model does not consider any preseason irrigation needs in total irrigation amount.</t>
  </si>
  <si>
    <t>Model results under alternative irrigation systems might be very different.</t>
  </si>
  <si>
    <t>Irrigation capacity (in/day) is an explicit function of system flowrate (gpm) and irrigated corn area (acres).</t>
  </si>
  <si>
    <t xml:space="preserve">     These limits apply:</t>
  </si>
  <si>
    <t>Model is limited to calculating results for irrigation capacities less than or equal to 0.25 in/day.</t>
  </si>
  <si>
    <t>This capacity limit is related to the range of data in the 5 years of research.</t>
  </si>
  <si>
    <t>Irrigation capacity applies only to the planned corn area. No other competing summer irrigation is allowed.</t>
  </si>
  <si>
    <t>More details on this function and its calculation are at the top of the Yld&amp;Irr Tab.</t>
  </si>
  <si>
    <t xml:space="preserve">Model may deplete a significant portion of soil water reserves, thus reserves must be present at emergence. </t>
  </si>
  <si>
    <t>Total field area (acres) is the sum of planned corn area (acres) and remaining field area (acres).</t>
  </si>
  <si>
    <t>Planned corn area must be less than or equal to total field area.</t>
  </si>
  <si>
    <t>The net returns to the remaining field area needs special consideration when choosing a value.</t>
  </si>
  <si>
    <t xml:space="preserve"> All irrigation for corn area only</t>
  </si>
  <si>
    <t>Note: Irrigation capacities rounded to less than or equal to 0.25 in/day.</t>
  </si>
  <si>
    <t>It should be noted that the maximum corn yield as projected in box (lavender) above is</t>
  </si>
  <si>
    <t xml:space="preserve">       It is possible the net returns to the remaining area could exceed net returns to planned corn area.</t>
  </si>
  <si>
    <t xml:space="preserve">       Current value is suggested dryland rent value.</t>
  </si>
  <si>
    <t xml:space="preserve">       Make sure value is realistic, because planned corn acres can be affected.  </t>
  </si>
  <si>
    <t xml:space="preserve">       system flowrate you have allocated to corn. </t>
  </si>
  <si>
    <r>
      <t xml:space="preserve">       If you desire to use a alternate summer irrigated crop for remaining area, you </t>
    </r>
    <r>
      <rPr>
        <i/>
        <u val="single"/>
        <sz val="10"/>
        <rFont val="Arial"/>
        <family val="2"/>
      </rPr>
      <t>must</t>
    </r>
    <r>
      <rPr>
        <i/>
        <sz val="10"/>
        <rFont val="Arial"/>
        <family val="2"/>
      </rPr>
      <t xml:space="preserve"> decrease </t>
    </r>
  </si>
  <si>
    <r>
      <t xml:space="preserve">       In that case an error bar will pop up at input </t>
    </r>
    <r>
      <rPr>
        <i/>
        <u val="single"/>
        <sz val="10"/>
        <rFont val="Arial"/>
        <family val="2"/>
      </rPr>
      <t>or</t>
    </r>
    <r>
      <rPr>
        <i/>
        <sz val="10"/>
        <rFont val="Arial"/>
        <family val="2"/>
      </rPr>
      <t xml:space="preserve"> it will suggest planting no corn.</t>
    </r>
  </si>
  <si>
    <t xml:space="preserve">Plant populations between 24 and 35 thousand are suggested. Populations between 22 and 35K are allowed. </t>
  </si>
  <si>
    <r>
      <t xml:space="preserve">Corn water use </t>
    </r>
    <r>
      <rPr>
        <b/>
        <u val="single"/>
        <sz val="10"/>
        <rFont val="Arial"/>
        <family val="2"/>
      </rPr>
      <t>above</t>
    </r>
    <r>
      <rPr>
        <b/>
        <sz val="10"/>
        <rFont val="Arial"/>
        <family val="2"/>
      </rPr>
      <t xml:space="preserve"> 28.5 inches is not allowed. Range of 20 - 27 inches is suggested.</t>
    </r>
  </si>
  <si>
    <t>Precipitation ranges of 7 - 16 inches are suggested, but no limit is imposed.</t>
  </si>
  <si>
    <t xml:space="preserve">Results may seem surprising in that often higher corn acres and plant populations are suggested under very </t>
  </si>
  <si>
    <t>Analysis is based on 5 years (1997-2001) of research with corn production using subsurface drip irrigation (SDI).</t>
  </si>
  <si>
    <t xml:space="preserve">    Lamm, F. R. and T. P. Trooien.  2001.  Irrigation capacity and plant population effects on corn production using SDI.  </t>
  </si>
  <si>
    <t xml:space="preserve">    In Proc. Irrigation Assn. Int'l. Irrigation Technical Conf., Nov. 4-6, 2001, San Antonio, TX.  Pages 73-80.  </t>
  </si>
  <si>
    <t xml:space="preserve">   Available from Irrigation Assn., Falls Church VA.  Also available at http://www.oznet.ksu.edu/sdi/Reports/2001/icpp.pdf</t>
  </si>
  <si>
    <t>Further discussion of the results from the first 4 years of the field research study (1997-2000) are in:</t>
  </si>
  <si>
    <r>
      <t>No fixed costs</t>
    </r>
    <r>
      <rPr>
        <b/>
        <sz val="10"/>
        <rFont val="Arial"/>
        <family val="2"/>
      </rPr>
      <t xml:space="preserve"> of the irrigation system and land are included in the analysis.</t>
    </r>
  </si>
  <si>
    <t>Please consider this alternative plan:</t>
  </si>
  <si>
    <t>population as your initial suggestions in blue screen above. Then look to see if a further alternative plan is suggested.</t>
  </si>
  <si>
    <r>
      <t>limited water availability.</t>
    </r>
    <r>
      <rPr>
        <b/>
        <sz val="10"/>
        <rFont val="Arial"/>
        <family val="2"/>
      </rPr>
      <t xml:space="preserve"> However, these results are consistent with results obtained in the 5 year study. </t>
    </r>
  </si>
  <si>
    <t xml:space="preserve">Net returns differences of less than $5/acre between alternative are probably well within margin of error, so </t>
  </si>
  <si>
    <t>there may be little need to change plans if differences are small.</t>
  </si>
  <si>
    <t>Damage to or removal of those cells will affect any calculation of alternative plans.</t>
  </si>
  <si>
    <t xml:space="preserve">There are hidden formulas (actually font size reduced to 3 pt) in Rows 28 and 43 and Column N of Area&amp;Ppop.  </t>
  </si>
  <si>
    <t>There is no password on the Protection schemes listed under the MS Excel Tools menu.</t>
  </si>
  <si>
    <t>You may change any Tab by removing the Protection schemes, but it is not recommended.  An exception</t>
  </si>
  <si>
    <t>might be if you wanted to change production cost values or factors on the ProdCosts Tab.</t>
  </si>
  <si>
    <t>K-State will probably make efforts to update this template with new production costs annually.</t>
  </si>
  <si>
    <t xml:space="preserve">You can obtain a new versions of the template or ensure that you have an unbroken copy by downloading a </t>
  </si>
  <si>
    <t>new copy at http://www.oznet.ksu.edu/sdi/Software/SDISoftware.htm</t>
  </si>
  <si>
    <t xml:space="preserve">The version you have here is </t>
  </si>
  <si>
    <t>Required Phosphorus, lb/acre</t>
  </si>
  <si>
    <t>Net returns to land, irrigation system, and management in $/acre for total field.</t>
  </si>
  <si>
    <t xml:space="preserve">           Net returns*, $/acre for field</t>
  </si>
  <si>
    <t xml:space="preserve">Nitrogen fertilizer, $/lb </t>
  </si>
  <si>
    <t xml:space="preserve">              K-State Research and Extension, Vs. 14.0, by F.R. Lamm and D.M O'Brien, 02-11-14</t>
  </si>
  <si>
    <r>
      <t>Initial Results</t>
    </r>
    <r>
      <rPr>
        <b/>
        <i/>
        <sz val="10"/>
        <rFont val="Calibri"/>
        <family val="2"/>
      </rPr>
      <t xml:space="preserve">    </t>
    </r>
    <r>
      <rPr>
        <b/>
        <i/>
        <sz val="8"/>
        <rFont val="Calibri"/>
        <family val="2"/>
      </rPr>
      <t>See Yld&amp;Irr tab for calculation details</t>
    </r>
  </si>
  <si>
    <r>
      <t xml:space="preserve">If an alternative plan as suggested here is better, please try entering the </t>
    </r>
    <r>
      <rPr>
        <b/>
        <u val="single"/>
        <sz val="9"/>
        <color indexed="12"/>
        <rFont val="Calibri"/>
        <family val="2"/>
      </rPr>
      <t>new</t>
    </r>
    <r>
      <rPr>
        <b/>
        <sz val="9"/>
        <color indexed="12"/>
        <rFont val="Calibri"/>
        <family val="2"/>
      </rPr>
      <t xml:space="preserve"> suggested planted corn acres and target plant </t>
    </r>
  </si>
  <si>
    <r>
      <t xml:space="preserve">Limitations, caveats and user hints to the template are listed on the Limits Tab below.  </t>
    </r>
    <r>
      <rPr>
        <b/>
        <i/>
        <sz val="10"/>
        <color indexed="12"/>
        <rFont val="Calibri"/>
        <family val="2"/>
      </rPr>
      <t>Highly recommended reading.</t>
    </r>
  </si>
  <si>
    <r>
      <t xml:space="preserve">Note: </t>
    </r>
    <r>
      <rPr>
        <b/>
        <i/>
        <u val="single"/>
        <sz val="10"/>
        <color indexed="10"/>
        <rFont val="Calibri"/>
        <family val="2"/>
      </rPr>
      <t>No fixed costs</t>
    </r>
    <r>
      <rPr>
        <b/>
        <i/>
        <sz val="10"/>
        <color indexed="10"/>
        <rFont val="Calibri"/>
        <family val="2"/>
      </rPr>
      <t xml:space="preserve"> of the irrigation system and land are included in the analysis</t>
    </r>
  </si>
  <si>
    <t xml:space="preserve">        $3.00 to 4.00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</si>
</sst>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&quot;$&quot;#,##0.000"/>
    <numFmt numFmtId="171" formatCode="&quot;$&quot;#,##0.0000"/>
    <numFmt numFmtId="172" formatCode="&quot;$&quot;#,##0.0"/>
    <numFmt numFmtId="173" formatCode="_(&quot;$&quot;* #,##0.000_);_(&quot;$&quot;* \(#,##0.000\);_(&quot;$&quot;* &quot;-&quot;??_);_(@_)"/>
    <numFmt numFmtId="174" formatCode="&quot;$&quot;#,##0.0_);\(&quot;$&quot;#,##0.0\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$&quot;#,##0"/>
    <numFmt numFmtId="178" formatCode="&quot;$&quot;#,##0.000_);\(&quot;$&quot;#,##0.000\)"/>
    <numFmt numFmtId="179" formatCode="&quot;$&quot;#,##0.0000_);\(&quot;$&quot;#,##0.0000\)"/>
    <numFmt numFmtId="180" formatCode="#,##0.0_);\(#,##0.0\)"/>
    <numFmt numFmtId="181" formatCode="0.0%"/>
  </numFmts>
  <fonts count="8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6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9"/>
      <color indexed="12"/>
      <name val="Calibri"/>
      <family val="2"/>
    </font>
    <font>
      <b/>
      <u val="single"/>
      <sz val="9"/>
      <color indexed="12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12"/>
      <name val="Calibri"/>
      <family val="2"/>
    </font>
    <font>
      <b/>
      <i/>
      <u val="single"/>
      <sz val="10"/>
      <color indexed="10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8"/>
      <color indexed="10"/>
      <name val="Calibri"/>
      <family val="2"/>
    </font>
    <font>
      <i/>
      <sz val="8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b/>
      <i/>
      <sz val="13"/>
      <name val="Calibri"/>
      <family val="2"/>
    </font>
    <font>
      <b/>
      <i/>
      <sz val="9"/>
      <color indexed="12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i/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68" fontId="8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8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2" fontId="0" fillId="33" borderId="0" xfId="0" applyNumberFormat="1" applyFont="1" applyFill="1" applyAlignment="1" applyProtection="1">
      <alignment horizontal="right"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ont="1" applyFill="1" applyAlignment="1" applyProtection="1">
      <alignment horizontal="right"/>
      <protection/>
    </xf>
    <xf numFmtId="0" fontId="0" fillId="34" borderId="0" xfId="0" applyFill="1" applyAlignment="1">
      <alignment/>
    </xf>
    <xf numFmtId="164" fontId="0" fillId="34" borderId="0" xfId="0" applyNumberFormat="1" applyFill="1" applyAlignment="1" applyProtection="1">
      <alignment/>
      <protection/>
    </xf>
    <xf numFmtId="1" fontId="8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9" fontId="0" fillId="33" borderId="0" xfId="59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6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9" fontId="0" fillId="33" borderId="16" xfId="59" applyFont="1" applyFill="1" applyBorder="1" applyAlignment="1">
      <alignment horizontal="center"/>
    </xf>
    <xf numFmtId="9" fontId="0" fillId="33" borderId="17" xfId="59" applyFont="1" applyFill="1" applyBorder="1" applyAlignment="1">
      <alignment horizontal="center"/>
    </xf>
    <xf numFmtId="167" fontId="1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1" fillId="34" borderId="0" xfId="0" applyFont="1" applyFill="1" applyAlignment="1">
      <alignment/>
    </xf>
    <xf numFmtId="0" fontId="15" fillId="33" borderId="0" xfId="0" applyFont="1" applyFill="1" applyAlignment="1">
      <alignment/>
    </xf>
    <xf numFmtId="9" fontId="0" fillId="33" borderId="18" xfId="59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7" borderId="0" xfId="0" applyFill="1" applyAlignment="1">
      <alignment/>
    </xf>
    <xf numFmtId="0" fontId="8" fillId="37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0" fontId="8" fillId="38" borderId="10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8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left"/>
    </xf>
    <xf numFmtId="0" fontId="0" fillId="37" borderId="16" xfId="0" applyFill="1" applyBorder="1" applyAlignment="1">
      <alignment/>
    </xf>
    <xf numFmtId="0" fontId="12" fillId="38" borderId="10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left"/>
    </xf>
    <xf numFmtId="0" fontId="0" fillId="38" borderId="16" xfId="0" applyFill="1" applyBorder="1" applyAlignment="1">
      <alignment/>
    </xf>
    <xf numFmtId="167" fontId="0" fillId="35" borderId="0" xfId="0" applyNumberFormat="1" applyFont="1" applyFill="1" applyBorder="1" applyAlignment="1">
      <alignment horizontal="center"/>
    </xf>
    <xf numFmtId="167" fontId="10" fillId="35" borderId="0" xfId="0" applyNumberFormat="1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8" fontId="0" fillId="36" borderId="0" xfId="0" applyNumberFormat="1" applyFont="1" applyFill="1" applyAlignment="1">
      <alignment horizontal="center"/>
    </xf>
    <xf numFmtId="0" fontId="17" fillId="37" borderId="18" xfId="0" applyFont="1" applyFill="1" applyBorder="1" applyAlignment="1">
      <alignment/>
    </xf>
    <xf numFmtId="0" fontId="0" fillId="37" borderId="16" xfId="0" applyFont="1" applyFill="1" applyBorder="1" applyAlignment="1">
      <alignment horizontal="center"/>
    </xf>
    <xf numFmtId="0" fontId="17" fillId="37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7" fillId="38" borderId="18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0" fontId="17" fillId="38" borderId="16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5" fontId="0" fillId="38" borderId="0" xfId="44" applyNumberFormat="1" applyFont="1" applyFill="1" applyAlignment="1">
      <alignment horizontal="center"/>
    </xf>
    <xf numFmtId="1" fontId="0" fillId="37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16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6" fillId="35" borderId="0" xfId="0" applyFont="1" applyFill="1" applyAlignment="1">
      <alignment/>
    </xf>
    <xf numFmtId="0" fontId="12" fillId="35" borderId="0" xfId="0" applyFont="1" applyFill="1" applyAlignment="1">
      <alignment/>
    </xf>
    <xf numFmtId="9" fontId="0" fillId="35" borderId="0" xfId="59" applyFont="1" applyFill="1" applyAlignment="1">
      <alignment/>
    </xf>
    <xf numFmtId="0" fontId="18" fillId="38" borderId="0" xfId="0" applyFont="1" applyFill="1" applyAlignment="1">
      <alignment/>
    </xf>
    <xf numFmtId="0" fontId="18" fillId="33" borderId="0" xfId="0" applyFont="1" applyFill="1" applyAlignment="1">
      <alignment/>
    </xf>
    <xf numFmtId="3" fontId="0" fillId="35" borderId="0" xfId="0" applyNumberFormat="1" applyFill="1" applyAlignment="1">
      <alignment/>
    </xf>
    <xf numFmtId="168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167" fontId="0" fillId="35" borderId="0" xfId="0" applyNumberFormat="1" applyFill="1" applyAlignment="1">
      <alignment/>
    </xf>
    <xf numFmtId="16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 horizontal="center"/>
    </xf>
    <xf numFmtId="0" fontId="18" fillId="37" borderId="0" xfId="0" applyFont="1" applyFill="1" applyAlignment="1">
      <alignment/>
    </xf>
    <xf numFmtId="177" fontId="8" fillId="35" borderId="0" xfId="44" applyNumberFormat="1" applyFont="1" applyFill="1" applyAlignment="1">
      <alignment horizontal="center"/>
    </xf>
    <xf numFmtId="1" fontId="18" fillId="37" borderId="0" xfId="44" applyNumberFormat="1" applyFont="1" applyFill="1" applyAlignment="1">
      <alignment horizontal="center"/>
    </xf>
    <xf numFmtId="1" fontId="19" fillId="37" borderId="0" xfId="44" applyNumberFormat="1" applyFont="1" applyFill="1" applyAlignment="1">
      <alignment horizontal="center"/>
    </xf>
    <xf numFmtId="5" fontId="19" fillId="33" borderId="0" xfId="44" applyNumberFormat="1" applyFont="1" applyFill="1" applyAlignment="1">
      <alignment horizontal="center"/>
    </xf>
    <xf numFmtId="37" fontId="19" fillId="33" borderId="0" xfId="44" applyNumberFormat="1" applyFont="1" applyFill="1" applyAlignment="1">
      <alignment horizontal="center"/>
    </xf>
    <xf numFmtId="37" fontId="18" fillId="33" borderId="0" xfId="44" applyNumberFormat="1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0" fontId="20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33" borderId="0" xfId="0" applyFont="1" applyFill="1" applyAlignment="1">
      <alignment/>
    </xf>
    <xf numFmtId="0" fontId="12" fillId="37" borderId="11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7" borderId="0" xfId="0" applyFont="1" applyFill="1" applyAlignment="1">
      <alignment/>
    </xf>
    <xf numFmtId="177" fontId="8" fillId="35" borderId="0" xfId="44" applyNumberFormat="1" applyFont="1" applyFill="1" applyAlignment="1">
      <alignment/>
    </xf>
    <xf numFmtId="167" fontId="16" fillId="35" borderId="0" xfId="0" applyNumberFormat="1" applyFont="1" applyFill="1" applyBorder="1" applyAlignment="1">
      <alignment horizontal="left"/>
    </xf>
    <xf numFmtId="1" fontId="0" fillId="33" borderId="18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35" borderId="0" xfId="0" applyNumberFormat="1" applyFill="1" applyAlignment="1">
      <alignment horizontal="center"/>
    </xf>
    <xf numFmtId="0" fontId="16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2" fillId="33" borderId="0" xfId="0" applyFont="1" applyFill="1" applyBorder="1" applyAlignment="1" applyProtection="1">
      <alignment/>
      <protection/>
    </xf>
    <xf numFmtId="0" fontId="23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81" fontId="0" fillId="33" borderId="0" xfId="59" applyNumberFormat="1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164" fontId="0" fillId="39" borderId="0" xfId="44" applyNumberFormat="1" applyFont="1" applyFill="1" applyAlignment="1" applyProtection="1">
      <alignment/>
      <protection/>
    </xf>
    <xf numFmtId="164" fontId="0" fillId="39" borderId="0" xfId="0" applyNumberFormat="1" applyFill="1" applyAlignment="1" applyProtection="1">
      <alignment/>
      <protection/>
    </xf>
    <xf numFmtId="0" fontId="0" fillId="39" borderId="0" xfId="0" applyFont="1" applyFill="1" applyAlignment="1" applyProtection="1">
      <alignment horizontal="right"/>
      <protection/>
    </xf>
    <xf numFmtId="3" fontId="0" fillId="39" borderId="0" xfId="0" applyNumberFormat="1" applyFill="1" applyAlignment="1" applyProtection="1">
      <alignment/>
      <protection/>
    </xf>
    <xf numFmtId="170" fontId="0" fillId="39" borderId="0" xfId="0" applyNumberFormat="1" applyFill="1" applyAlignment="1" applyProtection="1">
      <alignment/>
      <protection/>
    </xf>
    <xf numFmtId="164" fontId="0" fillId="39" borderId="0" xfId="0" applyNumberFormat="1" applyFont="1" applyFill="1" applyAlignment="1" applyProtection="1">
      <alignment horizontal="right"/>
      <protection/>
    </xf>
    <xf numFmtId="0" fontId="50" fillId="33" borderId="10" xfId="0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0" fillId="33" borderId="19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20" xfId="0" applyFont="1" applyFill="1" applyBorder="1" applyAlignment="1" applyProtection="1">
      <alignment/>
      <protection/>
    </xf>
    <xf numFmtId="0" fontId="26" fillId="33" borderId="19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0" fontId="53" fillId="33" borderId="19" xfId="0" applyFont="1" applyFill="1" applyBorder="1" applyAlignment="1" applyProtection="1">
      <alignment/>
      <protection/>
    </xf>
    <xf numFmtId="0" fontId="54" fillId="39" borderId="0" xfId="0" applyFont="1" applyFill="1" applyBorder="1" applyAlignment="1" applyProtection="1">
      <alignment/>
      <protection/>
    </xf>
    <xf numFmtId="0" fontId="55" fillId="33" borderId="19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51" fillId="33" borderId="19" xfId="0" applyFont="1" applyFill="1" applyBorder="1" applyAlignment="1" applyProtection="1">
      <alignment/>
      <protection/>
    </xf>
    <xf numFmtId="0" fontId="51" fillId="0" borderId="21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167" fontId="51" fillId="33" borderId="0" xfId="0" applyNumberFormat="1" applyFont="1" applyFill="1" applyBorder="1" applyAlignment="1" applyProtection="1">
      <alignment/>
      <protection/>
    </xf>
    <xf numFmtId="164" fontId="51" fillId="0" borderId="21" xfId="0" applyNumberFormat="1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51" fillId="39" borderId="19" xfId="0" applyFont="1" applyFill="1" applyBorder="1" applyAlignment="1" applyProtection="1">
      <alignment/>
      <protection/>
    </xf>
    <xf numFmtId="164" fontId="51" fillId="40" borderId="21" xfId="0" applyNumberFormat="1" applyFont="1" applyFill="1" applyBorder="1" applyAlignment="1" applyProtection="1">
      <alignment/>
      <protection locked="0"/>
    </xf>
    <xf numFmtId="164" fontId="56" fillId="33" borderId="0" xfId="0" applyNumberFormat="1" applyFont="1" applyFill="1" applyBorder="1" applyAlignment="1" applyProtection="1">
      <alignment horizontal="center"/>
      <protection/>
    </xf>
    <xf numFmtId="168" fontId="51" fillId="33" borderId="0" xfId="0" applyNumberFormat="1" applyFont="1" applyFill="1" applyBorder="1" applyAlignment="1" applyProtection="1">
      <alignment/>
      <protection/>
    </xf>
    <xf numFmtId="0" fontId="57" fillId="34" borderId="19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164" fontId="51" fillId="34" borderId="0" xfId="0" applyNumberFormat="1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/>
      <protection/>
    </xf>
    <xf numFmtId="5" fontId="60" fillId="34" borderId="0" xfId="44" applyNumberFormat="1" applyFont="1" applyFill="1" applyBorder="1" applyAlignment="1" applyProtection="1">
      <alignment horizontal="right"/>
      <protection/>
    </xf>
    <xf numFmtId="0" fontId="51" fillId="34" borderId="20" xfId="0" applyFont="1" applyFill="1" applyBorder="1" applyAlignment="1" applyProtection="1">
      <alignment/>
      <protection/>
    </xf>
    <xf numFmtId="0" fontId="57" fillId="35" borderId="19" xfId="0" applyFont="1" applyFill="1" applyBorder="1" applyAlignment="1" applyProtection="1">
      <alignment/>
      <protection/>
    </xf>
    <xf numFmtId="0" fontId="51" fillId="35" borderId="0" xfId="0" applyFont="1" applyFill="1" applyBorder="1" applyAlignment="1" applyProtection="1">
      <alignment/>
      <protection/>
    </xf>
    <xf numFmtId="0" fontId="51" fillId="35" borderId="20" xfId="0" applyFont="1" applyFill="1" applyBorder="1" applyAlignment="1" applyProtection="1">
      <alignment/>
      <protection/>
    </xf>
    <xf numFmtId="0" fontId="51" fillId="35" borderId="19" xfId="0" applyFont="1" applyFill="1" applyBorder="1" applyAlignment="1" applyProtection="1">
      <alignment/>
      <protection/>
    </xf>
    <xf numFmtId="0" fontId="51" fillId="35" borderId="0" xfId="0" applyFont="1" applyFill="1" applyBorder="1" applyAlignment="1" applyProtection="1">
      <alignment horizontal="center"/>
      <protection/>
    </xf>
    <xf numFmtId="3" fontId="51" fillId="35" borderId="0" xfId="0" applyNumberFormat="1" applyFont="1" applyFill="1" applyBorder="1" applyAlignment="1" applyProtection="1">
      <alignment horizontal="center"/>
      <protection/>
    </xf>
    <xf numFmtId="1" fontId="51" fillId="35" borderId="0" xfId="0" applyNumberFormat="1" applyFont="1" applyFill="1" applyBorder="1" applyAlignment="1" applyProtection="1">
      <alignment horizontal="center"/>
      <protection/>
    </xf>
    <xf numFmtId="9" fontId="51" fillId="35" borderId="0" xfId="59" applyFont="1" applyFill="1" applyBorder="1" applyAlignment="1" applyProtection="1">
      <alignment horizontal="center"/>
      <protection/>
    </xf>
    <xf numFmtId="167" fontId="51" fillId="35" borderId="0" xfId="0" applyNumberFormat="1" applyFont="1" applyFill="1" applyBorder="1" applyAlignment="1" applyProtection="1">
      <alignment horizontal="center"/>
      <protection/>
    </xf>
    <xf numFmtId="0" fontId="61" fillId="35" borderId="0" xfId="0" applyFont="1" applyFill="1" applyBorder="1" applyAlignment="1" applyProtection="1">
      <alignment/>
      <protection/>
    </xf>
    <xf numFmtId="177" fontId="62" fillId="35" borderId="0" xfId="44" applyNumberFormat="1" applyFont="1" applyFill="1" applyBorder="1" applyAlignment="1" applyProtection="1">
      <alignment horizontal="center"/>
      <protection/>
    </xf>
    <xf numFmtId="168" fontId="51" fillId="35" borderId="0" xfId="0" applyNumberFormat="1" applyFont="1" applyFill="1" applyBorder="1" applyAlignment="1" applyProtection="1">
      <alignment horizontal="center"/>
      <protection/>
    </xf>
    <xf numFmtId="0" fontId="59" fillId="35" borderId="19" xfId="0" applyFont="1" applyFill="1" applyBorder="1" applyAlignment="1" applyProtection="1">
      <alignment/>
      <protection/>
    </xf>
    <xf numFmtId="0" fontId="28" fillId="35" borderId="19" xfId="0" applyFont="1" applyFill="1" applyBorder="1" applyAlignment="1" applyProtection="1">
      <alignment/>
      <protection/>
    </xf>
    <xf numFmtId="0" fontId="63" fillId="35" borderId="19" xfId="0" applyFont="1" applyFill="1" applyBorder="1" applyAlignment="1" applyProtection="1">
      <alignment/>
      <protection/>
    </xf>
    <xf numFmtId="0" fontId="30" fillId="35" borderId="18" xfId="0" applyFont="1" applyFill="1" applyBorder="1" applyAlignment="1" applyProtection="1">
      <alignment/>
      <protection/>
    </xf>
    <xf numFmtId="0" fontId="64" fillId="35" borderId="16" xfId="0" applyFont="1" applyFill="1" applyBorder="1" applyAlignment="1" applyProtection="1">
      <alignment/>
      <protection/>
    </xf>
    <xf numFmtId="164" fontId="64" fillId="35" borderId="16" xfId="0" applyNumberFormat="1" applyFont="1" applyFill="1" applyBorder="1" applyAlignment="1" applyProtection="1">
      <alignment/>
      <protection/>
    </xf>
    <xf numFmtId="164" fontId="30" fillId="35" borderId="16" xfId="0" applyNumberFormat="1" applyFont="1" applyFill="1" applyBorder="1" applyAlignment="1" applyProtection="1">
      <alignment/>
      <protection/>
    </xf>
    <xf numFmtId="0" fontId="65" fillId="35" borderId="16" xfId="0" applyFont="1" applyFill="1" applyBorder="1" applyAlignment="1" applyProtection="1">
      <alignment/>
      <protection/>
    </xf>
    <xf numFmtId="0" fontId="51" fillId="35" borderId="16" xfId="0" applyFont="1" applyFill="1" applyBorder="1" applyAlignment="1" applyProtection="1">
      <alignment/>
      <protection/>
    </xf>
    <xf numFmtId="0" fontId="51" fillId="35" borderId="17" xfId="0" applyFont="1" applyFill="1" applyBorder="1" applyAlignment="1" applyProtection="1">
      <alignment/>
      <protection/>
    </xf>
    <xf numFmtId="0" fontId="30" fillId="36" borderId="10" xfId="0" applyFont="1" applyFill="1" applyBorder="1" applyAlignment="1" applyProtection="1">
      <alignment/>
      <protection/>
    </xf>
    <xf numFmtId="0" fontId="30" fillId="36" borderId="11" xfId="0" applyFont="1" applyFill="1" applyBorder="1" applyAlignment="1" applyProtection="1">
      <alignment/>
      <protection/>
    </xf>
    <xf numFmtId="0" fontId="51" fillId="36" borderId="11" xfId="0" applyFont="1" applyFill="1" applyBorder="1" applyAlignment="1" applyProtection="1">
      <alignment/>
      <protection/>
    </xf>
    <xf numFmtId="0" fontId="51" fillId="36" borderId="12" xfId="0" applyFont="1" applyFill="1" applyBorder="1" applyAlignment="1" applyProtection="1">
      <alignment/>
      <protection/>
    </xf>
    <xf numFmtId="0" fontId="30" fillId="36" borderId="19" xfId="0" applyFont="1" applyFill="1" applyBorder="1" applyAlignment="1" applyProtection="1">
      <alignment/>
      <protection/>
    </xf>
    <xf numFmtId="0" fontId="30" fillId="36" borderId="0" xfId="0" applyFont="1" applyFill="1" applyBorder="1" applyAlignment="1" applyProtection="1">
      <alignment/>
      <protection/>
    </xf>
    <xf numFmtId="0" fontId="51" fillId="36" borderId="0" xfId="0" applyFont="1" applyFill="1" applyBorder="1" applyAlignment="1" applyProtection="1">
      <alignment/>
      <protection/>
    </xf>
    <xf numFmtId="0" fontId="51" fillId="36" borderId="20" xfId="0" applyFont="1" applyFill="1" applyBorder="1" applyAlignment="1" applyProtection="1">
      <alignment/>
      <protection/>
    </xf>
    <xf numFmtId="0" fontId="30" fillId="36" borderId="18" xfId="0" applyFont="1" applyFill="1" applyBorder="1" applyAlignment="1" applyProtection="1">
      <alignment/>
      <protection/>
    </xf>
    <xf numFmtId="0" fontId="51" fillId="36" borderId="16" xfId="0" applyFont="1" applyFill="1" applyBorder="1" applyAlignment="1" applyProtection="1">
      <alignment/>
      <protection/>
    </xf>
    <xf numFmtId="0" fontId="51" fillId="36" borderId="17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85725</xdr:rowOff>
    </xdr:from>
    <xdr:to>
      <xdr:col>2</xdr:col>
      <xdr:colOff>285750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2724150" y="131445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66675</xdr:rowOff>
    </xdr:from>
    <xdr:to>
      <xdr:col>2</xdr:col>
      <xdr:colOff>228600</xdr:colOff>
      <xdr:row>11</xdr:row>
      <xdr:rowOff>76200</xdr:rowOff>
    </xdr:to>
    <xdr:sp>
      <xdr:nvSpPr>
        <xdr:cNvPr id="2" name="Line 4"/>
        <xdr:cNvSpPr>
          <a:spLocks/>
        </xdr:cNvSpPr>
      </xdr:nvSpPr>
      <xdr:spPr>
        <a:xfrm flipH="1">
          <a:off x="2724150" y="196215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85725</xdr:rowOff>
    </xdr:from>
    <xdr:to>
      <xdr:col>2</xdr:col>
      <xdr:colOff>285750</xdr:colOff>
      <xdr:row>8</xdr:row>
      <xdr:rowOff>95250</xdr:rowOff>
    </xdr:to>
    <xdr:sp>
      <xdr:nvSpPr>
        <xdr:cNvPr id="3" name="Line 6"/>
        <xdr:cNvSpPr>
          <a:spLocks/>
        </xdr:cNvSpPr>
      </xdr:nvSpPr>
      <xdr:spPr>
        <a:xfrm flipH="1">
          <a:off x="2724150" y="147637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85725</xdr:rowOff>
    </xdr:from>
    <xdr:to>
      <xdr:col>2</xdr:col>
      <xdr:colOff>285750</xdr:colOff>
      <xdr:row>6</xdr:row>
      <xdr:rowOff>95250</xdr:rowOff>
    </xdr:to>
    <xdr:sp>
      <xdr:nvSpPr>
        <xdr:cNvPr id="4" name="Line 7"/>
        <xdr:cNvSpPr>
          <a:spLocks/>
        </xdr:cNvSpPr>
      </xdr:nvSpPr>
      <xdr:spPr>
        <a:xfrm flipH="1">
          <a:off x="2724150" y="115252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95250</xdr:rowOff>
    </xdr:from>
    <xdr:to>
      <xdr:col>6</xdr:col>
      <xdr:colOff>200025</xdr:colOff>
      <xdr:row>6</xdr:row>
      <xdr:rowOff>95250</xdr:rowOff>
    </xdr:to>
    <xdr:sp>
      <xdr:nvSpPr>
        <xdr:cNvPr id="5" name="Line 8"/>
        <xdr:cNvSpPr>
          <a:spLocks/>
        </xdr:cNvSpPr>
      </xdr:nvSpPr>
      <xdr:spPr>
        <a:xfrm flipH="1">
          <a:off x="5743575" y="116205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95250</xdr:rowOff>
    </xdr:from>
    <xdr:to>
      <xdr:col>6</xdr:col>
      <xdr:colOff>200025</xdr:colOff>
      <xdr:row>7</xdr:row>
      <xdr:rowOff>95250</xdr:rowOff>
    </xdr:to>
    <xdr:sp>
      <xdr:nvSpPr>
        <xdr:cNvPr id="6" name="Line 9"/>
        <xdr:cNvSpPr>
          <a:spLocks/>
        </xdr:cNvSpPr>
      </xdr:nvSpPr>
      <xdr:spPr>
        <a:xfrm flipH="1">
          <a:off x="5743575" y="132397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66675</xdr:rowOff>
    </xdr:from>
    <xdr:to>
      <xdr:col>2</xdr:col>
      <xdr:colOff>228600</xdr:colOff>
      <xdr:row>14</xdr:row>
      <xdr:rowOff>76200</xdr:rowOff>
    </xdr:to>
    <xdr:sp>
      <xdr:nvSpPr>
        <xdr:cNvPr id="7" name="Line 10"/>
        <xdr:cNvSpPr>
          <a:spLocks/>
        </xdr:cNvSpPr>
      </xdr:nvSpPr>
      <xdr:spPr>
        <a:xfrm flipH="1">
          <a:off x="2724150" y="244792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76200</xdr:rowOff>
    </xdr:from>
    <xdr:to>
      <xdr:col>2</xdr:col>
      <xdr:colOff>228600</xdr:colOff>
      <xdr:row>12</xdr:row>
      <xdr:rowOff>85725</xdr:rowOff>
    </xdr:to>
    <xdr:sp>
      <xdr:nvSpPr>
        <xdr:cNvPr id="8" name="Line 11"/>
        <xdr:cNvSpPr>
          <a:spLocks/>
        </xdr:cNvSpPr>
      </xdr:nvSpPr>
      <xdr:spPr>
        <a:xfrm flipH="1">
          <a:off x="2724150" y="21336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66675</xdr:rowOff>
    </xdr:from>
    <xdr:to>
      <xdr:col>2</xdr:col>
      <xdr:colOff>228600</xdr:colOff>
      <xdr:row>13</xdr:row>
      <xdr:rowOff>76200</xdr:rowOff>
    </xdr:to>
    <xdr:sp>
      <xdr:nvSpPr>
        <xdr:cNvPr id="9" name="Line 12"/>
        <xdr:cNvSpPr>
          <a:spLocks/>
        </xdr:cNvSpPr>
      </xdr:nvSpPr>
      <xdr:spPr>
        <a:xfrm flipH="1">
          <a:off x="2724150" y="22860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323850</xdr:colOff>
      <xdr:row>0</xdr:row>
      <xdr:rowOff>95250</xdr:rowOff>
    </xdr:from>
    <xdr:to>
      <xdr:col>7</xdr:col>
      <xdr:colOff>371475</xdr:colOff>
      <xdr:row>2</xdr:row>
      <xdr:rowOff>142875</xdr:rowOff>
    </xdr:to>
    <xdr:pic>
      <xdr:nvPicPr>
        <xdr:cNvPr id="10" name="Picture 49" descr="KSRE_logo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9525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19050</xdr:rowOff>
    </xdr:from>
    <xdr:to>
      <xdr:col>0</xdr:col>
      <xdr:colOff>638175</xdr:colOff>
      <xdr:row>12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52425"/>
          <a:ext cx="5810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analyses are used to provide intermediate results used in anlayses below.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4</xdr:col>
      <xdr:colOff>314325</xdr:colOff>
      <xdr:row>3</xdr:row>
      <xdr:rowOff>9525</xdr:rowOff>
    </xdr:to>
    <xdr:pic>
      <xdr:nvPicPr>
        <xdr:cNvPr id="1" name="Picture 49" descr="KSRE_logo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2.8515625" style="148" customWidth="1"/>
    <col min="2" max="2" width="7.57421875" style="148" customWidth="1"/>
    <col min="3" max="3" width="12.8515625" style="148" customWidth="1"/>
    <col min="4" max="4" width="2.140625" style="148" customWidth="1"/>
    <col min="5" max="5" width="25.140625" style="148" customWidth="1"/>
    <col min="6" max="6" width="5.421875" style="148" customWidth="1"/>
    <col min="7" max="7" width="12.57421875" style="148" customWidth="1"/>
    <col min="8" max="8" width="7.140625" style="148" customWidth="1"/>
    <col min="9" max="9" width="2.57421875" style="148" customWidth="1"/>
    <col min="10" max="16384" width="9.140625" style="148" customWidth="1"/>
  </cols>
  <sheetData>
    <row r="1" spans="1:10" ht="15.75">
      <c r="A1" s="144" t="s">
        <v>6</v>
      </c>
      <c r="B1" s="145"/>
      <c r="C1" s="145"/>
      <c r="D1" s="145"/>
      <c r="E1" s="145"/>
      <c r="F1" s="145"/>
      <c r="G1" s="145"/>
      <c r="H1" s="145"/>
      <c r="I1" s="146"/>
      <c r="J1" s="147"/>
    </row>
    <row r="2" spans="1:10" ht="15.75" customHeight="1">
      <c r="A2" s="149" t="s">
        <v>5</v>
      </c>
      <c r="B2" s="150"/>
      <c r="C2" s="150"/>
      <c r="D2" s="150"/>
      <c r="E2" s="150"/>
      <c r="F2" s="150"/>
      <c r="G2" s="150"/>
      <c r="H2" s="150"/>
      <c r="I2" s="151"/>
      <c r="J2" s="147"/>
    </row>
    <row r="3" spans="1:10" ht="12.75" customHeight="1">
      <c r="A3" s="152" t="s">
        <v>131</v>
      </c>
      <c r="B3" s="150"/>
      <c r="C3" s="150"/>
      <c r="D3" s="150"/>
      <c r="E3" s="150"/>
      <c r="F3" s="153"/>
      <c r="G3" s="150"/>
      <c r="H3" s="150"/>
      <c r="I3" s="151"/>
      <c r="J3" s="147"/>
    </row>
    <row r="4" spans="1:10" ht="12.75" customHeight="1">
      <c r="A4" s="152" t="s">
        <v>132</v>
      </c>
      <c r="B4" s="150"/>
      <c r="C4" s="150"/>
      <c r="D4" s="150"/>
      <c r="E4" s="150"/>
      <c r="F4" s="153"/>
      <c r="G4" s="150"/>
      <c r="H4" s="150"/>
      <c r="I4" s="151"/>
      <c r="J4" s="147"/>
    </row>
    <row r="5" spans="1:10" ht="12.75">
      <c r="A5" s="154" t="str">
        <f>IF(B9&gt;B8,"Error, Planned area must be &lt;= to Total area!"," ")</f>
        <v> </v>
      </c>
      <c r="B5" s="150"/>
      <c r="C5" s="155" t="s">
        <v>195</v>
      </c>
      <c r="D5" s="150"/>
      <c r="E5" s="150"/>
      <c r="F5" s="150"/>
      <c r="G5" s="150"/>
      <c r="H5" s="150"/>
      <c r="I5" s="151"/>
      <c r="J5" s="147"/>
    </row>
    <row r="6" spans="1:10" ht="14.25">
      <c r="A6" s="156" t="s">
        <v>24</v>
      </c>
      <c r="B6" s="150"/>
      <c r="C6" s="157" t="s">
        <v>4</v>
      </c>
      <c r="D6" s="150"/>
      <c r="E6" s="158" t="s">
        <v>44</v>
      </c>
      <c r="F6" s="150"/>
      <c r="G6" s="159" t="s">
        <v>7</v>
      </c>
      <c r="H6" s="150"/>
      <c r="I6" s="151"/>
      <c r="J6" s="147"/>
    </row>
    <row r="7" spans="1:10" ht="12.75">
      <c r="A7" s="160" t="s">
        <v>0</v>
      </c>
      <c r="B7" s="161">
        <v>600</v>
      </c>
      <c r="C7" s="162">
        <v>750</v>
      </c>
      <c r="D7" s="150"/>
      <c r="E7" s="150" t="s">
        <v>13</v>
      </c>
      <c r="F7" s="161">
        <v>23</v>
      </c>
      <c r="G7" s="163" t="s">
        <v>11</v>
      </c>
      <c r="H7" s="150"/>
      <c r="I7" s="151"/>
      <c r="J7" s="147"/>
    </row>
    <row r="8" spans="1:9" ht="12.75">
      <c r="A8" s="160" t="s">
        <v>1</v>
      </c>
      <c r="B8" s="161">
        <v>160</v>
      </c>
      <c r="C8" s="162">
        <v>160</v>
      </c>
      <c r="D8" s="150"/>
      <c r="E8" s="150" t="s">
        <v>8</v>
      </c>
      <c r="F8" s="161">
        <v>12</v>
      </c>
      <c r="G8" s="163" t="s">
        <v>12</v>
      </c>
      <c r="H8" s="150"/>
      <c r="I8" s="151"/>
    </row>
    <row r="9" spans="1:9" ht="12.75">
      <c r="A9" s="160" t="s">
        <v>2</v>
      </c>
      <c r="B9" s="161">
        <v>140</v>
      </c>
      <c r="C9" s="162">
        <v>140</v>
      </c>
      <c r="D9" s="150"/>
      <c r="E9" s="164" t="s">
        <v>43</v>
      </c>
      <c r="F9" s="150"/>
      <c r="G9" s="150"/>
      <c r="H9" s="150"/>
      <c r="I9" s="151"/>
    </row>
    <row r="10" spans="1:9" ht="12.75">
      <c r="A10" s="160" t="s">
        <v>3</v>
      </c>
      <c r="B10" s="150">
        <f>Tarea-Carea</f>
        <v>20</v>
      </c>
      <c r="C10" s="162"/>
      <c r="D10" s="150"/>
      <c r="E10" s="165" t="str">
        <f>IF(F7&gt;28.5,"ET greater than 28.5 may be too high! Results may be in error."," ")</f>
        <v> </v>
      </c>
      <c r="F10" s="150"/>
      <c r="G10" s="150"/>
      <c r="H10" s="150"/>
      <c r="I10" s="151"/>
    </row>
    <row r="11" spans="1:9" ht="14.25">
      <c r="A11" s="154" t="str">
        <f>IF(PPop&gt;35000,"Plant population too high for this evaluation",IF(PPop&lt;22000,"Plant population too low for this evaluation"," "))</f>
        <v> </v>
      </c>
      <c r="B11" s="150"/>
      <c r="C11" s="159" t="s">
        <v>7</v>
      </c>
      <c r="D11" s="150"/>
      <c r="E11" s="158" t="s">
        <v>196</v>
      </c>
      <c r="F11" s="150"/>
      <c r="G11" s="150"/>
      <c r="H11" s="150"/>
      <c r="I11" s="151"/>
    </row>
    <row r="12" spans="1:9" ht="12.75">
      <c r="A12" s="160" t="s">
        <v>10</v>
      </c>
      <c r="B12" s="161">
        <v>28000</v>
      </c>
      <c r="C12" s="163" t="s">
        <v>46</v>
      </c>
      <c r="D12" s="150"/>
      <c r="E12" s="150" t="s">
        <v>16</v>
      </c>
      <c r="F12" s="166">
        <f>((GPM*60*24/7.48)/(Carea*43560))*12</f>
        <v>0.22728851119711596</v>
      </c>
      <c r="G12" s="165" t="str">
        <f>IF(IC&gt;0.25,"Capacity too high, adjust"," ")</f>
        <v> </v>
      </c>
      <c r="H12" s="150"/>
      <c r="I12" s="151"/>
    </row>
    <row r="13" spans="1:9" ht="12.75" customHeight="1">
      <c r="A13" s="160" t="s">
        <v>45</v>
      </c>
      <c r="B13" s="167">
        <v>3.5</v>
      </c>
      <c r="C13" s="168" t="s">
        <v>200</v>
      </c>
      <c r="D13" s="150"/>
      <c r="E13" s="150" t="s">
        <v>14</v>
      </c>
      <c r="F13" s="169">
        <f>'Yld&amp;Irr'!C18</f>
        <v>255</v>
      </c>
      <c r="G13" s="165" t="str">
        <f>IF(IC&gt;0.25,"flowrate or See Limits Tab"," ")</f>
        <v> </v>
      </c>
      <c r="H13" s="150"/>
      <c r="I13" s="151"/>
    </row>
    <row r="14" spans="1:9" ht="12.75">
      <c r="A14" s="170" t="s">
        <v>72</v>
      </c>
      <c r="B14" s="171">
        <v>4.7</v>
      </c>
      <c r="C14" s="172">
        <v>4.7</v>
      </c>
      <c r="D14" s="150"/>
      <c r="E14" s="150" t="s">
        <v>15</v>
      </c>
      <c r="F14" s="173">
        <f>'Yld&amp;Irr'!C37</f>
        <v>13</v>
      </c>
      <c r="G14" s="168" t="s">
        <v>158</v>
      </c>
      <c r="H14" s="150"/>
      <c r="I14" s="151"/>
    </row>
    <row r="15" spans="1:9" ht="12.75">
      <c r="A15" s="170" t="s">
        <v>9</v>
      </c>
      <c r="B15" s="167">
        <v>40</v>
      </c>
      <c r="C15" s="172">
        <v>40</v>
      </c>
      <c r="D15" s="150"/>
      <c r="E15" s="165" t="str">
        <f>IF((NRRA*1)&gt;=(((Yld*CHPrice*1))-((1+(IntR/2))*(1*((PPop/CEPct)/1000)*SPrice)+(1*OVC)+((1+(IntR/2))*1*NRate*Yld*NPrice)+((1+(IntR/2))*1*Prate*Yld*PPrice)+((1+(IntR/2))*1*HBase)+((1+(IntR/2))*1*(HERate*(Yld-HLevel)))+((1+(IntR/2))*1*Haul*Yld)+((1+(IntR/2))*1*IAmt*(IFuel+IRepair)))),"Don't plant any corn area or adjust Net returns to remaining area"," ")</f>
        <v> </v>
      </c>
      <c r="F15" s="150"/>
      <c r="G15" s="150"/>
      <c r="H15" s="150"/>
      <c r="I15" s="151"/>
    </row>
    <row r="16" spans="1:9" ht="19.5" customHeight="1">
      <c r="A16" s="174" t="s">
        <v>192</v>
      </c>
      <c r="B16" s="175"/>
      <c r="C16" s="176"/>
      <c r="D16" s="177"/>
      <c r="E16" s="177"/>
      <c r="F16" s="178"/>
      <c r="G16" s="179">
        <f>(((Yld*CHPrice*Carea)+(Rarea*NRRA))-((1+(IntR/2))*(Carea*((PPop/CEPct)/1000)*SPrice)+(Carea*OVC)+((1+(IntR/2))*Carea*NRate*Yld*NPrice)+((1+(IntR/2))*Carea*Prate*Yld*PPrice)+((1+(IntR/2))*Carea*HBase)+((1+(IntR/2))*Carea*(HERate*(Yld-HLevel)))+((1+(IntR/2))*Carea*Haul*Yld)+((1+(IntR/2))*Carea*IAmt*(IFuel+IRepair))))/Tarea</f>
        <v>459.0819510361842</v>
      </c>
      <c r="H16" s="177"/>
      <c r="I16" s="180"/>
    </row>
    <row r="17" spans="1:10" ht="16.5" customHeight="1">
      <c r="A17" s="181" t="s">
        <v>177</v>
      </c>
      <c r="B17" s="182"/>
      <c r="C17" s="182"/>
      <c r="D17" s="182"/>
      <c r="E17" s="182"/>
      <c r="F17" s="182"/>
      <c r="G17" s="182"/>
      <c r="H17" s="182"/>
      <c r="I17" s="183"/>
      <c r="J17" s="147"/>
    </row>
    <row r="18" spans="1:10" ht="14.25" customHeight="1">
      <c r="A18" s="184" t="s">
        <v>111</v>
      </c>
      <c r="B18" s="182"/>
      <c r="C18" s="185">
        <f>'Area&amp;PPop'!E55</f>
        <v>160</v>
      </c>
      <c r="D18" s="182"/>
      <c r="E18" s="182" t="s">
        <v>118</v>
      </c>
      <c r="F18" s="182"/>
      <c r="G18" s="185">
        <f>NRate</f>
        <v>1.1</v>
      </c>
      <c r="H18" s="182"/>
      <c r="I18" s="183"/>
      <c r="J18" s="147"/>
    </row>
    <row r="19" spans="1:10" ht="14.25" customHeight="1">
      <c r="A19" s="184" t="s">
        <v>113</v>
      </c>
      <c r="B19" s="182"/>
      <c r="C19" s="186">
        <f>'Area&amp;PPop'!E56</f>
        <v>35000</v>
      </c>
      <c r="D19" s="182"/>
      <c r="E19" s="182" t="s">
        <v>117</v>
      </c>
      <c r="F19" s="182"/>
      <c r="G19" s="187">
        <f>G18*C22</f>
        <v>305.8</v>
      </c>
      <c r="H19" s="182"/>
      <c r="I19" s="183"/>
      <c r="J19" s="147"/>
    </row>
    <row r="20" spans="1:10" ht="14.25" customHeight="1">
      <c r="A20" s="184" t="s">
        <v>112</v>
      </c>
      <c r="B20" s="182"/>
      <c r="C20" s="188">
        <f>CEPct</f>
        <v>0.95</v>
      </c>
      <c r="D20" s="182"/>
      <c r="E20" s="182" t="s">
        <v>119</v>
      </c>
      <c r="F20" s="182"/>
      <c r="G20" s="185">
        <f>Prate</f>
        <v>0.43</v>
      </c>
      <c r="H20" s="182"/>
      <c r="I20" s="183"/>
      <c r="J20" s="147"/>
    </row>
    <row r="21" spans="1:10" ht="14.25" customHeight="1">
      <c r="A21" s="184" t="s">
        <v>114</v>
      </c>
      <c r="B21" s="182"/>
      <c r="C21" s="186">
        <f>C19/C20</f>
        <v>36842.10526315789</v>
      </c>
      <c r="D21" s="182"/>
      <c r="E21" s="182" t="s">
        <v>191</v>
      </c>
      <c r="F21" s="182"/>
      <c r="G21" s="187">
        <f>G20*C22</f>
        <v>119.53999999999999</v>
      </c>
      <c r="H21" s="182"/>
      <c r="I21" s="183"/>
      <c r="J21" s="147"/>
    </row>
    <row r="22" spans="1:10" ht="14.25" customHeight="1">
      <c r="A22" s="184" t="s">
        <v>121</v>
      </c>
      <c r="B22" s="182"/>
      <c r="C22" s="185">
        <f>'Area&amp;PPop'!E60</f>
        <v>278</v>
      </c>
      <c r="D22" s="182"/>
      <c r="E22" s="182" t="s">
        <v>115</v>
      </c>
      <c r="F22" s="182"/>
      <c r="G22" s="189">
        <f>'Area&amp;PPop'!J60</f>
        <v>0.19887744729747647</v>
      </c>
      <c r="H22" s="182"/>
      <c r="I22" s="183"/>
      <c r="J22" s="147"/>
    </row>
    <row r="23" spans="1:10" ht="16.5">
      <c r="A23" s="181" t="s">
        <v>193</v>
      </c>
      <c r="B23" s="190"/>
      <c r="C23" s="191">
        <f>'Area&amp;PPop'!E61</f>
        <v>574.7141261052634</v>
      </c>
      <c r="D23" s="182"/>
      <c r="E23" s="182" t="s">
        <v>116</v>
      </c>
      <c r="F23" s="182"/>
      <c r="G23" s="192">
        <f>'Area&amp;PPop'!J61</f>
        <v>11.8</v>
      </c>
      <c r="H23" s="182"/>
      <c r="I23" s="183"/>
      <c r="J23" s="147"/>
    </row>
    <row r="24" spans="1:10" ht="12.75" customHeight="1">
      <c r="A24" s="193" t="s">
        <v>122</v>
      </c>
      <c r="B24" s="182"/>
      <c r="C24" s="182"/>
      <c r="D24" s="182"/>
      <c r="E24" s="182"/>
      <c r="F24" s="182"/>
      <c r="G24" s="182"/>
      <c r="H24" s="182"/>
      <c r="I24" s="183"/>
      <c r="J24" s="147"/>
    </row>
    <row r="25" spans="1:10" ht="18" customHeight="1">
      <c r="A25" s="194" t="s">
        <v>197</v>
      </c>
      <c r="B25" s="182"/>
      <c r="C25" s="182"/>
      <c r="D25" s="182"/>
      <c r="E25" s="182"/>
      <c r="F25" s="182"/>
      <c r="G25" s="182"/>
      <c r="H25" s="182"/>
      <c r="I25" s="183"/>
      <c r="J25" s="147"/>
    </row>
    <row r="26" spans="1:10" ht="12.75" customHeight="1">
      <c r="A26" s="194" t="s">
        <v>178</v>
      </c>
      <c r="B26" s="182"/>
      <c r="C26" s="182"/>
      <c r="D26" s="182"/>
      <c r="E26" s="182"/>
      <c r="F26" s="182"/>
      <c r="G26" s="182"/>
      <c r="H26" s="182"/>
      <c r="I26" s="183"/>
      <c r="J26" s="147"/>
    </row>
    <row r="27" spans="1:10" ht="18" customHeight="1">
      <c r="A27" s="195" t="s">
        <v>133</v>
      </c>
      <c r="B27" s="182"/>
      <c r="C27" s="182"/>
      <c r="D27" s="182"/>
      <c r="E27" s="182"/>
      <c r="F27" s="182"/>
      <c r="G27" s="182"/>
      <c r="H27" s="182"/>
      <c r="I27" s="183"/>
      <c r="J27" s="147"/>
    </row>
    <row r="28" spans="1:9" ht="18" customHeight="1">
      <c r="A28" s="196" t="s">
        <v>136</v>
      </c>
      <c r="B28" s="197"/>
      <c r="C28" s="198"/>
      <c r="D28" s="199"/>
      <c r="E28" s="197"/>
      <c r="F28" s="200"/>
      <c r="G28" s="197"/>
      <c r="H28" s="201"/>
      <c r="I28" s="202"/>
    </row>
    <row r="29" spans="1:9" ht="12.75">
      <c r="A29" s="203" t="s">
        <v>135</v>
      </c>
      <c r="B29" s="204"/>
      <c r="C29" s="204"/>
      <c r="D29" s="204"/>
      <c r="E29" s="204"/>
      <c r="F29" s="205"/>
      <c r="G29" s="205"/>
      <c r="H29" s="205"/>
      <c r="I29" s="206"/>
    </row>
    <row r="30" spans="1:9" ht="12.75">
      <c r="A30" s="207" t="s">
        <v>137</v>
      </c>
      <c r="B30" s="208"/>
      <c r="C30" s="208"/>
      <c r="D30" s="208"/>
      <c r="E30" s="208"/>
      <c r="F30" s="209"/>
      <c r="G30" s="209"/>
      <c r="H30" s="209"/>
      <c r="I30" s="210"/>
    </row>
    <row r="31" spans="1:9" ht="12.75">
      <c r="A31" s="207" t="s">
        <v>198</v>
      </c>
      <c r="B31" s="209"/>
      <c r="C31" s="209"/>
      <c r="D31" s="209"/>
      <c r="E31" s="209"/>
      <c r="F31" s="209"/>
      <c r="G31" s="209"/>
      <c r="H31" s="209"/>
      <c r="I31" s="210"/>
    </row>
    <row r="32" spans="1:9" ht="12.75">
      <c r="A32" s="211" t="s">
        <v>199</v>
      </c>
      <c r="B32" s="212"/>
      <c r="C32" s="212"/>
      <c r="D32" s="212"/>
      <c r="E32" s="212"/>
      <c r="F32" s="212"/>
      <c r="G32" s="212"/>
      <c r="H32" s="212"/>
      <c r="I32" s="213"/>
    </row>
  </sheetData>
  <sheetProtection sheet="1"/>
  <printOptions/>
  <pageMargins left="1.25" right="1" top="1" bottom="1" header="0.5" footer="0.5"/>
  <pageSetup horizontalDpi="600" verticalDpi="600" orientation="landscape" r:id="rId2"/>
  <headerFooter alignWithMargins="0">
    <oddFooter>&amp;L&amp;F &amp;    &amp;A     F.R. Lamm and D.M. O'Brien 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0.57421875" style="0" customWidth="1"/>
    <col min="2" max="12" width="8.8515625" style="0" customWidth="1"/>
    <col min="13" max="13" width="3.140625" style="0" customWidth="1"/>
  </cols>
  <sheetData>
    <row r="1" spans="1:13" ht="18">
      <c r="A1" s="4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8.25" customHeight="1">
      <c r="A2" s="4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33" t="s">
        <v>93</v>
      </c>
      <c r="C3" s="40"/>
      <c r="D3" s="34"/>
      <c r="E3" s="34"/>
      <c r="F3" s="34"/>
      <c r="G3" s="34"/>
      <c r="H3" s="34"/>
      <c r="I3" s="34"/>
      <c r="J3" s="40">
        <f>Tarea</f>
        <v>160</v>
      </c>
      <c r="K3" s="40" t="s">
        <v>94</v>
      </c>
      <c r="L3" s="35"/>
      <c r="M3" s="1"/>
    </row>
    <row r="4" spans="1:13" ht="12">
      <c r="A4" s="1"/>
      <c r="B4" s="50">
        <v>0</v>
      </c>
      <c r="C4" s="42">
        <f>(Carea/Tarea)-0.75*(Carea/Tarea)</f>
        <v>0.21875</v>
      </c>
      <c r="D4" s="42">
        <f>(Carea/Tarea)-0.5*(Carea/Tarea)</f>
        <v>0.4375</v>
      </c>
      <c r="E4" s="42">
        <f>(Carea/Tarea)-0.25*(Carea/Tarea)</f>
        <v>0.65625</v>
      </c>
      <c r="F4" s="42">
        <f>(Carea/Tarea)-0.1*(Carea/Tarea)</f>
        <v>0.7875</v>
      </c>
      <c r="G4" s="42">
        <f>Carea/Tarea</f>
        <v>0.875</v>
      </c>
      <c r="H4" s="42">
        <f>(Carea/Tarea)+0.1*((Tarea-Carea)/Tarea)</f>
        <v>0.8875</v>
      </c>
      <c r="I4" s="42">
        <f>(Carea/Tarea)+0.25*((Tarea-Carea)/Tarea)</f>
        <v>0.90625</v>
      </c>
      <c r="J4" s="42">
        <f>(Carea/Tarea)+0.5*((Tarea-Carea)/Tarea)</f>
        <v>0.9375</v>
      </c>
      <c r="K4" s="42">
        <f>(Carea/Tarea)+0.75*((Tarea-Carea)/Tarea)</f>
        <v>0.96875</v>
      </c>
      <c r="L4" s="43">
        <v>1</v>
      </c>
      <c r="M4" s="1"/>
    </row>
    <row r="5" spans="1:13" ht="12.75">
      <c r="A5" s="1"/>
      <c r="B5" s="33" t="s">
        <v>95</v>
      </c>
      <c r="C5" s="40"/>
      <c r="D5" s="34"/>
      <c r="E5" s="34"/>
      <c r="F5" s="34"/>
      <c r="G5" s="34"/>
      <c r="H5" s="34"/>
      <c r="I5" s="34"/>
      <c r="J5" s="34"/>
      <c r="K5" s="34"/>
      <c r="L5" s="35"/>
      <c r="M5" s="1"/>
    </row>
    <row r="6" spans="1:13" ht="12.75" customHeight="1">
      <c r="A6" s="1"/>
      <c r="B6" s="126">
        <f aca="true" t="shared" si="0" ref="B6:L6">B4*Tarea</f>
        <v>0</v>
      </c>
      <c r="C6" s="127">
        <f t="shared" si="0"/>
        <v>35</v>
      </c>
      <c r="D6" s="127">
        <f t="shared" si="0"/>
        <v>70</v>
      </c>
      <c r="E6" s="127">
        <f t="shared" si="0"/>
        <v>105</v>
      </c>
      <c r="F6" s="127">
        <f t="shared" si="0"/>
        <v>126</v>
      </c>
      <c r="G6" s="127">
        <f t="shared" si="0"/>
        <v>140</v>
      </c>
      <c r="H6" s="127">
        <f t="shared" si="0"/>
        <v>142</v>
      </c>
      <c r="I6" s="127">
        <f t="shared" si="0"/>
        <v>145</v>
      </c>
      <c r="J6" s="127">
        <f t="shared" si="0"/>
        <v>150</v>
      </c>
      <c r="K6" s="127">
        <f t="shared" si="0"/>
        <v>155</v>
      </c>
      <c r="L6" s="128">
        <f t="shared" si="0"/>
        <v>160</v>
      </c>
      <c r="M6" s="1"/>
    </row>
    <row r="7" spans="1:13" ht="15">
      <c r="A7" s="1"/>
      <c r="B7" s="52" t="s">
        <v>99</v>
      </c>
      <c r="C7" s="52"/>
      <c r="D7" s="32"/>
      <c r="E7" s="32"/>
      <c r="F7" s="32"/>
      <c r="G7" s="32"/>
      <c r="H7" s="32"/>
      <c r="I7" s="32"/>
      <c r="J7" s="32"/>
      <c r="K7" s="46">
        <f>GPM</f>
        <v>600</v>
      </c>
      <c r="L7" s="46" t="s">
        <v>98</v>
      </c>
      <c r="M7" s="32"/>
    </row>
    <row r="8" spans="1:13" ht="12.75" customHeight="1">
      <c r="A8" s="1"/>
      <c r="B8" s="76">
        <v>0</v>
      </c>
      <c r="C8" s="76">
        <f aca="true" t="shared" si="1" ref="C8:L8">IF(((GPM*60*24/7.48)/(SensCarea*43560))*12&gt;0.25,0.25,((GPM*60*24/7.48)/(SensCarea*43560))*12)</f>
        <v>0.25</v>
      </c>
      <c r="D8" s="76">
        <f t="shared" si="1"/>
        <v>0.25</v>
      </c>
      <c r="E8" s="76">
        <f t="shared" si="1"/>
        <v>0.25</v>
      </c>
      <c r="F8" s="76">
        <f t="shared" si="1"/>
        <v>0.25</v>
      </c>
      <c r="G8" s="76">
        <f t="shared" si="1"/>
        <v>0.22728851119711596</v>
      </c>
      <c r="H8" s="76">
        <f t="shared" si="1"/>
        <v>0.22408726456053688</v>
      </c>
      <c r="I8" s="76">
        <f t="shared" si="1"/>
        <v>0.2194509763282499</v>
      </c>
      <c r="J8" s="76">
        <f t="shared" si="1"/>
        <v>0.2121359437839749</v>
      </c>
      <c r="K8" s="76">
        <f t="shared" si="1"/>
        <v>0.20529284882320153</v>
      </c>
      <c r="L8" s="76">
        <f t="shared" si="1"/>
        <v>0.19887744729747647</v>
      </c>
      <c r="M8" s="32"/>
    </row>
    <row r="9" spans="1:13" ht="12.75" customHeight="1">
      <c r="A9" s="1"/>
      <c r="B9" s="125" t="s">
        <v>159</v>
      </c>
      <c r="C9" s="77"/>
      <c r="D9" s="44"/>
      <c r="E9" s="44"/>
      <c r="F9" s="44"/>
      <c r="G9" s="44"/>
      <c r="H9" s="44"/>
      <c r="I9" s="44"/>
      <c r="J9" s="44"/>
      <c r="K9" s="44"/>
      <c r="L9" s="44"/>
      <c r="M9" s="32"/>
    </row>
    <row r="10" spans="1:13" ht="15">
      <c r="A10" s="1"/>
      <c r="B10" s="51" t="s">
        <v>100</v>
      </c>
      <c r="C10" s="51"/>
      <c r="D10" s="45"/>
      <c r="E10" s="45"/>
      <c r="F10" s="45"/>
      <c r="G10" s="45"/>
      <c r="H10" s="45"/>
      <c r="I10" s="45"/>
      <c r="J10" s="45"/>
      <c r="K10" s="47">
        <f>GPM</f>
        <v>600</v>
      </c>
      <c r="L10" s="47" t="s">
        <v>98</v>
      </c>
      <c r="M10" s="45"/>
    </row>
    <row r="11" spans="1:13" ht="12.75" customHeight="1">
      <c r="A11" s="1"/>
      <c r="B11" s="82">
        <f>IF((ROUND(((6.9*(SensIC*(AETRDef)))-(0.681*(SensIC*(AETRDef))^2)),1))&lt;=0,0,(ROUND(((6.9*(SensIC*(AETRDef)))-(0.681*(SensIC*(AETRDef))^2)),1)))</f>
        <v>0</v>
      </c>
      <c r="C11" s="82">
        <f aca="true" t="shared" si="2" ref="C11:L11">(ROUND(((6.9*(SensIC*(AETRDef)))-(0.681*(SensIC*(AETRDef))^2)),1))</f>
        <v>13.8</v>
      </c>
      <c r="D11" s="82">
        <f t="shared" si="2"/>
        <v>13.8</v>
      </c>
      <c r="E11" s="82">
        <f t="shared" si="2"/>
        <v>13.8</v>
      </c>
      <c r="F11" s="82">
        <f t="shared" si="2"/>
        <v>13.8</v>
      </c>
      <c r="G11" s="82">
        <f t="shared" si="2"/>
        <v>13</v>
      </c>
      <c r="H11" s="82">
        <f t="shared" si="2"/>
        <v>12.9</v>
      </c>
      <c r="I11" s="82">
        <f t="shared" si="2"/>
        <v>12.7</v>
      </c>
      <c r="J11" s="82">
        <f t="shared" si="2"/>
        <v>12.4</v>
      </c>
      <c r="K11" s="82">
        <f t="shared" si="2"/>
        <v>12.1</v>
      </c>
      <c r="L11" s="82">
        <f t="shared" si="2"/>
        <v>11.8</v>
      </c>
      <c r="M11" s="45"/>
    </row>
    <row r="12" spans="1:13" ht="12" customHeight="1">
      <c r="A12" s="1"/>
      <c r="B12" s="78" t="s">
        <v>101</v>
      </c>
      <c r="C12" s="78"/>
      <c r="D12" s="79"/>
      <c r="E12" s="79"/>
      <c r="F12" s="79"/>
      <c r="G12" s="79"/>
      <c r="H12" s="79"/>
      <c r="I12" s="79"/>
      <c r="J12" s="79"/>
      <c r="K12" s="80"/>
      <c r="L12" s="80"/>
      <c r="M12" s="21"/>
    </row>
    <row r="13" spans="1:13" ht="10.5" customHeight="1">
      <c r="A13" s="49"/>
      <c r="B13" s="81">
        <v>0</v>
      </c>
      <c r="C13" s="81">
        <f aca="true" t="shared" si="3" ref="C13:L13">IF(AET-(Rain+SensIAmt)&lt;-2.5,-2.5,AET-(Rain+SensIAmt))</f>
        <v>-2.5</v>
      </c>
      <c r="D13" s="81">
        <f t="shared" si="3"/>
        <v>-2.5</v>
      </c>
      <c r="E13" s="81">
        <f t="shared" si="3"/>
        <v>-2.5</v>
      </c>
      <c r="F13" s="81">
        <f t="shared" si="3"/>
        <v>-2.5</v>
      </c>
      <c r="G13" s="81">
        <f t="shared" si="3"/>
        <v>-2</v>
      </c>
      <c r="H13" s="81">
        <f t="shared" si="3"/>
        <v>-1.8999999999999986</v>
      </c>
      <c r="I13" s="81">
        <f t="shared" si="3"/>
        <v>-1.6999999999999993</v>
      </c>
      <c r="J13" s="81">
        <f t="shared" si="3"/>
        <v>-1.3999999999999986</v>
      </c>
      <c r="K13" s="81">
        <f t="shared" si="3"/>
        <v>-1.1000000000000014</v>
      </c>
      <c r="L13" s="81">
        <f t="shared" si="3"/>
        <v>-0.8000000000000007</v>
      </c>
      <c r="M13" s="48"/>
    </row>
    <row r="14" spans="1:13" ht="15">
      <c r="A14" s="36" t="s">
        <v>97</v>
      </c>
      <c r="B14" s="68" t="s">
        <v>103</v>
      </c>
      <c r="C14" s="119"/>
      <c r="D14" s="55"/>
      <c r="E14" s="55"/>
      <c r="F14" s="55"/>
      <c r="G14" s="55"/>
      <c r="H14" s="69">
        <f>GPM</f>
        <v>600</v>
      </c>
      <c r="I14" s="70" t="s">
        <v>102</v>
      </c>
      <c r="J14" s="55"/>
      <c r="K14" s="55"/>
      <c r="L14" s="55"/>
      <c r="M14" s="53"/>
    </row>
    <row r="15" spans="1:13" ht="12.75">
      <c r="A15" s="37" t="s">
        <v>91</v>
      </c>
      <c r="B15" s="83" t="s">
        <v>104</v>
      </c>
      <c r="C15" s="85"/>
      <c r="D15" s="71"/>
      <c r="E15" s="71"/>
      <c r="F15" s="84">
        <f>AET</f>
        <v>23</v>
      </c>
      <c r="G15" s="123"/>
      <c r="H15" s="85" t="s">
        <v>105</v>
      </c>
      <c r="I15" s="86"/>
      <c r="J15" s="86"/>
      <c r="K15" s="84">
        <f>Rain</f>
        <v>12</v>
      </c>
      <c r="L15" s="71"/>
      <c r="M15" s="53"/>
    </row>
    <row r="16" spans="1:13" ht="12.75">
      <c r="A16" s="60" t="s">
        <v>92</v>
      </c>
      <c r="B16" s="54" t="s">
        <v>95</v>
      </c>
      <c r="C16" s="120"/>
      <c r="D16" s="55"/>
      <c r="E16" s="55"/>
      <c r="F16" s="55"/>
      <c r="G16" s="55"/>
      <c r="H16" s="55"/>
      <c r="I16" s="55"/>
      <c r="J16" s="55"/>
      <c r="K16" s="55"/>
      <c r="L16" s="56"/>
      <c r="M16" s="53"/>
    </row>
    <row r="17" spans="1:13" ht="12.75">
      <c r="A17" s="60" t="s">
        <v>96</v>
      </c>
      <c r="B17" s="57">
        <f>B6</f>
        <v>0</v>
      </c>
      <c r="C17" s="58">
        <f>C6</f>
        <v>35</v>
      </c>
      <c r="D17" s="58">
        <f aca="true" t="shared" si="4" ref="D17:L17">D6</f>
        <v>70</v>
      </c>
      <c r="E17" s="58">
        <f t="shared" si="4"/>
        <v>105</v>
      </c>
      <c r="F17" s="58">
        <f t="shared" si="4"/>
        <v>126</v>
      </c>
      <c r="G17" s="58">
        <f t="shared" si="4"/>
        <v>140</v>
      </c>
      <c r="H17" s="58">
        <f t="shared" si="4"/>
        <v>142</v>
      </c>
      <c r="I17" s="58">
        <f t="shared" si="4"/>
        <v>145</v>
      </c>
      <c r="J17" s="58">
        <f t="shared" si="4"/>
        <v>150</v>
      </c>
      <c r="K17" s="58">
        <f t="shared" si="4"/>
        <v>155</v>
      </c>
      <c r="L17" s="59">
        <f t="shared" si="4"/>
        <v>160</v>
      </c>
      <c r="M17" s="108">
        <f>ROW()</f>
        <v>17</v>
      </c>
    </row>
    <row r="18" spans="1:13" ht="12">
      <c r="A18" s="38">
        <v>24000</v>
      </c>
      <c r="B18" s="92">
        <v>0</v>
      </c>
      <c r="C18" s="92">
        <f aca="true" t="shared" si="5" ref="C18:L27">ROUND(157+(5.335*(SensIrrDef))-(0.2932*(SensIrrDef)^2)+(0.00337*SensPPop)-(0.000273*((SensIrrDef)*SensPPop)),0)</f>
        <v>239</v>
      </c>
      <c r="D18" s="92">
        <f t="shared" si="5"/>
        <v>239</v>
      </c>
      <c r="E18" s="92">
        <f t="shared" si="5"/>
        <v>239</v>
      </c>
      <c r="F18" s="92">
        <f t="shared" si="5"/>
        <v>239</v>
      </c>
      <c r="G18" s="92">
        <f t="shared" si="5"/>
        <v>239</v>
      </c>
      <c r="H18" s="92">
        <f t="shared" si="5"/>
        <v>239</v>
      </c>
      <c r="I18" s="92">
        <f t="shared" si="5"/>
        <v>239</v>
      </c>
      <c r="J18" s="92">
        <f t="shared" si="5"/>
        <v>239</v>
      </c>
      <c r="K18" s="92">
        <f t="shared" si="5"/>
        <v>239</v>
      </c>
      <c r="L18" s="92">
        <f t="shared" si="5"/>
        <v>239</v>
      </c>
      <c r="M18" s="108" t="str">
        <f>IF(MAX(B18:L18)=MAX($B$18:$L$27),ROW()," ")</f>
        <v> </v>
      </c>
    </row>
    <row r="19" spans="1:13" ht="12">
      <c r="A19" s="38">
        <v>26000</v>
      </c>
      <c r="B19" s="92">
        <v>0</v>
      </c>
      <c r="C19" s="92">
        <f t="shared" si="5"/>
        <v>247</v>
      </c>
      <c r="D19" s="92">
        <f t="shared" si="5"/>
        <v>247</v>
      </c>
      <c r="E19" s="92">
        <f t="shared" si="5"/>
        <v>247</v>
      </c>
      <c r="F19" s="92">
        <f t="shared" si="5"/>
        <v>247</v>
      </c>
      <c r="G19" s="92">
        <f t="shared" si="5"/>
        <v>247</v>
      </c>
      <c r="H19" s="92">
        <f t="shared" si="5"/>
        <v>247</v>
      </c>
      <c r="I19" s="92">
        <f t="shared" si="5"/>
        <v>247</v>
      </c>
      <c r="J19" s="92">
        <f t="shared" si="5"/>
        <v>247</v>
      </c>
      <c r="K19" s="92">
        <f t="shared" si="5"/>
        <v>246</v>
      </c>
      <c r="L19" s="92">
        <f t="shared" si="5"/>
        <v>246</v>
      </c>
      <c r="M19" s="108" t="str">
        <f aca="true" t="shared" si="6" ref="M19:M27">IF(MAX(B19:L19)=MAX($B$18:$L$27),ROW()," ")</f>
        <v> </v>
      </c>
    </row>
    <row r="20" spans="1:13" ht="12">
      <c r="A20" s="38">
        <v>28000</v>
      </c>
      <c r="B20" s="92">
        <v>0</v>
      </c>
      <c r="C20" s="92">
        <f t="shared" si="5"/>
        <v>255</v>
      </c>
      <c r="D20" s="92">
        <f t="shared" si="5"/>
        <v>255</v>
      </c>
      <c r="E20" s="92">
        <f t="shared" si="5"/>
        <v>255</v>
      </c>
      <c r="F20" s="92">
        <f t="shared" si="5"/>
        <v>255</v>
      </c>
      <c r="G20" s="92">
        <f t="shared" si="5"/>
        <v>255</v>
      </c>
      <c r="H20" s="92">
        <f t="shared" si="5"/>
        <v>255</v>
      </c>
      <c r="I20" s="92">
        <f t="shared" si="5"/>
        <v>254</v>
      </c>
      <c r="J20" s="92">
        <f t="shared" si="5"/>
        <v>254</v>
      </c>
      <c r="K20" s="92">
        <f t="shared" si="5"/>
        <v>254</v>
      </c>
      <c r="L20" s="92">
        <f t="shared" si="5"/>
        <v>253</v>
      </c>
      <c r="M20" s="108" t="str">
        <f t="shared" si="6"/>
        <v> </v>
      </c>
    </row>
    <row r="21" spans="1:13" ht="12">
      <c r="A21" s="38">
        <v>29000</v>
      </c>
      <c r="B21" s="92">
        <v>0</v>
      </c>
      <c r="C21" s="92">
        <f t="shared" si="5"/>
        <v>259</v>
      </c>
      <c r="D21" s="92">
        <f t="shared" si="5"/>
        <v>259</v>
      </c>
      <c r="E21" s="92">
        <f t="shared" si="5"/>
        <v>259</v>
      </c>
      <c r="F21" s="92">
        <f t="shared" si="5"/>
        <v>259</v>
      </c>
      <c r="G21" s="92">
        <f t="shared" si="5"/>
        <v>259</v>
      </c>
      <c r="H21" s="92">
        <f t="shared" si="5"/>
        <v>259</v>
      </c>
      <c r="I21" s="92">
        <f t="shared" si="5"/>
        <v>258</v>
      </c>
      <c r="J21" s="92">
        <f t="shared" si="5"/>
        <v>258</v>
      </c>
      <c r="K21" s="92">
        <f t="shared" si="5"/>
        <v>257</v>
      </c>
      <c r="L21" s="92">
        <f t="shared" si="5"/>
        <v>257</v>
      </c>
      <c r="M21" s="108" t="str">
        <f t="shared" si="6"/>
        <v> </v>
      </c>
    </row>
    <row r="22" spans="1:13" ht="12">
      <c r="A22" s="38">
        <v>30000</v>
      </c>
      <c r="B22" s="92">
        <v>0</v>
      </c>
      <c r="C22" s="92">
        <f t="shared" si="5"/>
        <v>263</v>
      </c>
      <c r="D22" s="92">
        <f t="shared" si="5"/>
        <v>263</v>
      </c>
      <c r="E22" s="92">
        <f t="shared" si="5"/>
        <v>263</v>
      </c>
      <c r="F22" s="92">
        <f t="shared" si="5"/>
        <v>263</v>
      </c>
      <c r="G22" s="92">
        <f t="shared" si="5"/>
        <v>263</v>
      </c>
      <c r="H22" s="92">
        <f t="shared" si="5"/>
        <v>262</v>
      </c>
      <c r="I22" s="92">
        <f t="shared" si="5"/>
        <v>262</v>
      </c>
      <c r="J22" s="92">
        <f t="shared" si="5"/>
        <v>262</v>
      </c>
      <c r="K22" s="92">
        <f t="shared" si="5"/>
        <v>261</v>
      </c>
      <c r="L22" s="92">
        <f t="shared" si="5"/>
        <v>260</v>
      </c>
      <c r="M22" s="108" t="str">
        <f t="shared" si="6"/>
        <v> </v>
      </c>
    </row>
    <row r="23" spans="1:13" ht="12">
      <c r="A23" s="38">
        <v>31000</v>
      </c>
      <c r="B23" s="92">
        <v>0</v>
      </c>
      <c r="C23" s="92">
        <f t="shared" si="5"/>
        <v>267</v>
      </c>
      <c r="D23" s="92">
        <f t="shared" si="5"/>
        <v>267</v>
      </c>
      <c r="E23" s="92">
        <f t="shared" si="5"/>
        <v>267</v>
      </c>
      <c r="F23" s="92">
        <f t="shared" si="5"/>
        <v>267</v>
      </c>
      <c r="G23" s="92">
        <f t="shared" si="5"/>
        <v>267</v>
      </c>
      <c r="H23" s="92">
        <f t="shared" si="5"/>
        <v>266</v>
      </c>
      <c r="I23" s="92">
        <f t="shared" si="5"/>
        <v>266</v>
      </c>
      <c r="J23" s="92">
        <f t="shared" si="5"/>
        <v>265</v>
      </c>
      <c r="K23" s="92">
        <f t="shared" si="5"/>
        <v>265</v>
      </c>
      <c r="L23" s="92">
        <f t="shared" si="5"/>
        <v>264</v>
      </c>
      <c r="M23" s="108" t="str">
        <f t="shared" si="6"/>
        <v> </v>
      </c>
    </row>
    <row r="24" spans="1:13" ht="12">
      <c r="A24" s="38">
        <v>32000</v>
      </c>
      <c r="B24" s="92">
        <v>0</v>
      </c>
      <c r="C24" s="92">
        <f t="shared" si="5"/>
        <v>272</v>
      </c>
      <c r="D24" s="92">
        <f t="shared" si="5"/>
        <v>272</v>
      </c>
      <c r="E24" s="92">
        <f t="shared" si="5"/>
        <v>272</v>
      </c>
      <c r="F24" s="92">
        <f t="shared" si="5"/>
        <v>272</v>
      </c>
      <c r="G24" s="92">
        <f t="shared" si="5"/>
        <v>270</v>
      </c>
      <c r="H24" s="92">
        <f t="shared" si="5"/>
        <v>270</v>
      </c>
      <c r="I24" s="92">
        <f t="shared" si="5"/>
        <v>270</v>
      </c>
      <c r="J24" s="92">
        <f t="shared" si="5"/>
        <v>269</v>
      </c>
      <c r="K24" s="92">
        <f t="shared" si="5"/>
        <v>268</v>
      </c>
      <c r="L24" s="92">
        <f t="shared" si="5"/>
        <v>267</v>
      </c>
      <c r="M24" s="108" t="str">
        <f t="shared" si="6"/>
        <v> </v>
      </c>
    </row>
    <row r="25" spans="1:13" ht="12">
      <c r="A25" s="38">
        <v>33000</v>
      </c>
      <c r="B25" s="92">
        <v>0</v>
      </c>
      <c r="C25" s="92">
        <f t="shared" si="5"/>
        <v>276</v>
      </c>
      <c r="D25" s="92">
        <f t="shared" si="5"/>
        <v>276</v>
      </c>
      <c r="E25" s="92">
        <f t="shared" si="5"/>
        <v>276</v>
      </c>
      <c r="F25" s="92">
        <f t="shared" si="5"/>
        <v>276</v>
      </c>
      <c r="G25" s="92">
        <f t="shared" si="5"/>
        <v>274</v>
      </c>
      <c r="H25" s="92">
        <f t="shared" si="5"/>
        <v>274</v>
      </c>
      <c r="I25" s="92">
        <f t="shared" si="5"/>
        <v>274</v>
      </c>
      <c r="J25" s="92">
        <f t="shared" si="5"/>
        <v>273</v>
      </c>
      <c r="K25" s="92">
        <f t="shared" si="5"/>
        <v>272</v>
      </c>
      <c r="L25" s="92">
        <f t="shared" si="5"/>
        <v>271</v>
      </c>
      <c r="M25" s="108" t="str">
        <f t="shared" si="6"/>
        <v> </v>
      </c>
    </row>
    <row r="26" spans="1:13" ht="12">
      <c r="A26" s="38">
        <v>34000</v>
      </c>
      <c r="B26" s="92">
        <v>0</v>
      </c>
      <c r="C26" s="92">
        <f t="shared" si="5"/>
        <v>280</v>
      </c>
      <c r="D26" s="92">
        <f t="shared" si="5"/>
        <v>280</v>
      </c>
      <c r="E26" s="92">
        <f t="shared" si="5"/>
        <v>280</v>
      </c>
      <c r="F26" s="92">
        <f t="shared" si="5"/>
        <v>280</v>
      </c>
      <c r="G26" s="92">
        <f t="shared" si="5"/>
        <v>278</v>
      </c>
      <c r="H26" s="92">
        <f t="shared" si="5"/>
        <v>278</v>
      </c>
      <c r="I26" s="92">
        <f t="shared" si="5"/>
        <v>277</v>
      </c>
      <c r="J26" s="92">
        <f t="shared" si="5"/>
        <v>277</v>
      </c>
      <c r="K26" s="92">
        <f t="shared" si="5"/>
        <v>276</v>
      </c>
      <c r="L26" s="92">
        <f t="shared" si="5"/>
        <v>275</v>
      </c>
      <c r="M26" s="108" t="str">
        <f t="shared" si="6"/>
        <v> </v>
      </c>
    </row>
    <row r="27" spans="1:13" ht="12">
      <c r="A27" s="39">
        <v>35000</v>
      </c>
      <c r="B27" s="92">
        <v>0</v>
      </c>
      <c r="C27" s="92">
        <f t="shared" si="5"/>
        <v>284</v>
      </c>
      <c r="D27" s="92">
        <f t="shared" si="5"/>
        <v>284</v>
      </c>
      <c r="E27" s="92">
        <f t="shared" si="5"/>
        <v>284</v>
      </c>
      <c r="F27" s="92">
        <f t="shared" si="5"/>
        <v>284</v>
      </c>
      <c r="G27" s="92">
        <f t="shared" si="5"/>
        <v>282</v>
      </c>
      <c r="H27" s="92">
        <f t="shared" si="5"/>
        <v>282</v>
      </c>
      <c r="I27" s="92">
        <f t="shared" si="5"/>
        <v>281</v>
      </c>
      <c r="J27" s="92">
        <f t="shared" si="5"/>
        <v>280</v>
      </c>
      <c r="K27" s="92">
        <f t="shared" si="5"/>
        <v>279</v>
      </c>
      <c r="L27" s="92">
        <f t="shared" si="5"/>
        <v>278</v>
      </c>
      <c r="M27" s="108">
        <f t="shared" si="6"/>
        <v>27</v>
      </c>
    </row>
    <row r="28" spans="1:13" ht="10.5" customHeight="1">
      <c r="A28" s="100">
        <f>COLUMN()</f>
        <v>1</v>
      </c>
      <c r="B28" s="111" t="str">
        <f>IF(MAX(B18:B27)=MAX($B$18:$L$27),COLUMN()," ")</f>
        <v> </v>
      </c>
      <c r="C28" s="111">
        <f>IF(MAX(C18:C27)=MAX($B$18:$L$27),COLUMN()," ")</f>
        <v>3</v>
      </c>
      <c r="D28" s="111">
        <f aca="true" t="shared" si="7" ref="D28:L28">IF(MAX(D18:D27)=MAX($B$18:$L$27),COLUMN()," ")</f>
        <v>4</v>
      </c>
      <c r="E28" s="111">
        <f t="shared" si="7"/>
        <v>5</v>
      </c>
      <c r="F28" s="111">
        <f t="shared" si="7"/>
        <v>6</v>
      </c>
      <c r="G28" s="111" t="str">
        <f t="shared" si="7"/>
        <v> </v>
      </c>
      <c r="H28" s="110" t="str">
        <f t="shared" si="7"/>
        <v> </v>
      </c>
      <c r="I28" s="111" t="str">
        <f t="shared" si="7"/>
        <v> </v>
      </c>
      <c r="J28" s="111" t="str">
        <f t="shared" si="7"/>
        <v> </v>
      </c>
      <c r="K28" s="111" t="str">
        <f t="shared" si="7"/>
        <v> </v>
      </c>
      <c r="L28" s="111" t="str">
        <f t="shared" si="7"/>
        <v> </v>
      </c>
      <c r="M28" s="108"/>
    </row>
    <row r="29" spans="1:13" ht="15">
      <c r="A29" s="36" t="s">
        <v>97</v>
      </c>
      <c r="B29" s="72" t="s">
        <v>106</v>
      </c>
      <c r="C29" s="121"/>
      <c r="D29" s="61"/>
      <c r="E29" s="61"/>
      <c r="F29" s="61"/>
      <c r="G29" s="61"/>
      <c r="H29" s="61"/>
      <c r="I29" s="61"/>
      <c r="J29" s="61"/>
      <c r="K29" s="73">
        <f>GPM</f>
        <v>600</v>
      </c>
      <c r="L29" s="74" t="s">
        <v>102</v>
      </c>
      <c r="M29" s="62"/>
    </row>
    <row r="30" spans="1:13" ht="12.75">
      <c r="A30" s="37" t="s">
        <v>91</v>
      </c>
      <c r="B30" s="87" t="s">
        <v>104</v>
      </c>
      <c r="C30" s="89"/>
      <c r="D30" s="75"/>
      <c r="E30" s="75"/>
      <c r="F30" s="88">
        <f>AET</f>
        <v>23</v>
      </c>
      <c r="G30" s="62"/>
      <c r="H30" s="89" t="s">
        <v>105</v>
      </c>
      <c r="I30" s="90"/>
      <c r="J30" s="90"/>
      <c r="K30" s="88">
        <f>Rain</f>
        <v>12</v>
      </c>
      <c r="L30" s="75"/>
      <c r="M30" s="62"/>
    </row>
    <row r="31" spans="1:13" ht="12.75">
      <c r="A31" s="60" t="s">
        <v>92</v>
      </c>
      <c r="B31" s="63" t="s">
        <v>95</v>
      </c>
      <c r="C31" s="122"/>
      <c r="D31" s="61"/>
      <c r="E31" s="61"/>
      <c r="F31" s="61"/>
      <c r="G31" s="61"/>
      <c r="H31" s="61"/>
      <c r="I31" s="61"/>
      <c r="J31" s="61"/>
      <c r="K31" s="61"/>
      <c r="L31" s="64"/>
      <c r="M31" s="62"/>
    </row>
    <row r="32" spans="1:13" ht="12.75">
      <c r="A32" s="60" t="s">
        <v>96</v>
      </c>
      <c r="B32" s="65">
        <f>B6</f>
        <v>0</v>
      </c>
      <c r="C32" s="66">
        <f>C6</f>
        <v>35</v>
      </c>
      <c r="D32" s="66">
        <f aca="true" t="shared" si="8" ref="D32:L32">D6</f>
        <v>70</v>
      </c>
      <c r="E32" s="66">
        <f t="shared" si="8"/>
        <v>105</v>
      </c>
      <c r="F32" s="66">
        <f t="shared" si="8"/>
        <v>126</v>
      </c>
      <c r="G32" s="66">
        <f t="shared" si="8"/>
        <v>140</v>
      </c>
      <c r="H32" s="66">
        <f t="shared" si="8"/>
        <v>142</v>
      </c>
      <c r="I32" s="66">
        <f t="shared" si="8"/>
        <v>145</v>
      </c>
      <c r="J32" s="66">
        <f t="shared" si="8"/>
        <v>150</v>
      </c>
      <c r="K32" s="66">
        <f t="shared" si="8"/>
        <v>155</v>
      </c>
      <c r="L32" s="67">
        <f t="shared" si="8"/>
        <v>160</v>
      </c>
      <c r="M32" s="99">
        <f>ROW()</f>
        <v>32</v>
      </c>
    </row>
    <row r="33" spans="1:13" ht="12">
      <c r="A33" s="38">
        <v>24000</v>
      </c>
      <c r="B33" s="91">
        <f aca="true" t="shared" si="9" ref="B33:L33">(((B18*CHPrice*SensCarea)+((Tarea-SensCarea)*NRRA))-((1+(IntR/2))*(SensCarea*((SensPPop/CEPct)/1000)*SPrice)+(SensCarea*OVC)+((1+(IntR/2))*SensCarea*NRate*B18*NPrice)+((1+(IntR/2))*SensCarea*Prate*B18*PPrice)+((1+(IntR/2))*SensCarea*HBase)+((1+(IntR/2))*SensCarea*(HERate*(B18-HLevel)))+((1+(IntR/2))*SensCarea*Haul*B18)+((1+(IntR/2))*SensCarea*IAmt*(IFuel+IRepair))))/Tarea</f>
        <v>40</v>
      </c>
      <c r="C33" s="91">
        <f t="shared" si="9"/>
        <v>135.5611874564145</v>
      </c>
      <c r="D33" s="91">
        <f t="shared" si="9"/>
        <v>231.122374912829</v>
      </c>
      <c r="E33" s="91">
        <f t="shared" si="9"/>
        <v>326.6835623692435</v>
      </c>
      <c r="F33" s="91">
        <f t="shared" si="9"/>
        <v>384.020274843092</v>
      </c>
      <c r="G33" s="91">
        <f t="shared" si="9"/>
        <v>422.244749825658</v>
      </c>
      <c r="H33" s="91">
        <f t="shared" si="9"/>
        <v>427.7053891088816</v>
      </c>
      <c r="I33" s="91">
        <f t="shared" si="9"/>
        <v>435.8963480337172</v>
      </c>
      <c r="J33" s="91">
        <f t="shared" si="9"/>
        <v>449.5479462417764</v>
      </c>
      <c r="K33" s="91">
        <f t="shared" si="9"/>
        <v>463.19954444983557</v>
      </c>
      <c r="L33" s="91">
        <f t="shared" si="9"/>
        <v>476.8511426578949</v>
      </c>
      <c r="M33" s="99" t="str">
        <f>IF(MAX(B33:L33)=MAX($B$33:$L$43),ROW()," ")</f>
        <v> </v>
      </c>
    </row>
    <row r="34" spans="1:13" ht="12">
      <c r="A34" s="38">
        <v>26000</v>
      </c>
      <c r="B34" s="91">
        <f aca="true" t="shared" si="10" ref="B34:L34">(((B19*CHPrice*SensCarea)+((Tarea-SensCarea)*NRRA))-((1+(IntR/2))*(SensCarea*((SensPPop/CEPct)/1000)*SPrice)+(SensCarea*OVC)+((1+(IntR/2))*SensCarea*NRate*B19*NPrice)+((1+(IntR/2))*SensCarea*Prate*B19*PPrice)+((1+(IntR/2))*SensCarea*HBase)+((1+(IntR/2))*SensCarea*(HERate*(B19-HLevel)))+((1+(IntR/2))*SensCarea*Haul*B19)+((1+(IntR/2))*SensCarea*IAmt*(IFuel+IRepair))))/Tarea</f>
        <v>40</v>
      </c>
      <c r="C34" s="91">
        <f t="shared" si="10"/>
        <v>140.16583760773028</v>
      </c>
      <c r="D34" s="91">
        <f t="shared" si="10"/>
        <v>240.33167521546056</v>
      </c>
      <c r="E34" s="91">
        <f t="shared" si="10"/>
        <v>340.49751282319096</v>
      </c>
      <c r="F34" s="91">
        <f t="shared" si="10"/>
        <v>400.5970153878292</v>
      </c>
      <c r="G34" s="91">
        <f t="shared" si="10"/>
        <v>440.6633504309211</v>
      </c>
      <c r="H34" s="91">
        <f t="shared" si="10"/>
        <v>446.3871125799343</v>
      </c>
      <c r="I34" s="91">
        <f t="shared" si="10"/>
        <v>454.97275580345394</v>
      </c>
      <c r="J34" s="91">
        <f t="shared" si="10"/>
        <v>469.28216117598674</v>
      </c>
      <c r="K34" s="91">
        <f t="shared" si="10"/>
        <v>480.1212952828947</v>
      </c>
      <c r="L34" s="91">
        <f t="shared" si="10"/>
        <v>494.3187564210526</v>
      </c>
      <c r="M34" s="99" t="str">
        <f aca="true" t="shared" si="11" ref="M34:M42">IF(MAX(B34:L34)=MAX($B$33:$L$43),ROW()," ")</f>
        <v> </v>
      </c>
    </row>
    <row r="35" spans="1:13" ht="12">
      <c r="A35" s="38">
        <v>28000</v>
      </c>
      <c r="B35" s="91">
        <f aca="true" t="shared" si="12" ref="B35:L35">(((B20*CHPrice*SensCarea)+((Tarea-SensCarea)*NRRA))-((1+(IntR/2))*(SensCarea*((SensPPop/CEPct)/1000)*SPrice)+(SensCarea*OVC)+((1+(IntR/2))*SensCarea*NRate*B20*NPrice)+((1+(IntR/2))*SensCarea*Prate*B20*PPrice)+((1+(IntR/2))*SensCarea*HBase)+((1+(IntR/2))*SensCarea*(HERate*(B20-HLevel)))+((1+(IntR/2))*SensCarea*Haul*B20)+((1+(IntR/2))*SensCarea*IAmt*(IFuel+IRepair))))/Tarea</f>
        <v>40</v>
      </c>
      <c r="C35" s="91">
        <f t="shared" si="12"/>
        <v>144.77048775904603</v>
      </c>
      <c r="D35" s="91">
        <f t="shared" si="12"/>
        <v>249.5409755180921</v>
      </c>
      <c r="E35" s="91">
        <f t="shared" si="12"/>
        <v>354.31146327713816</v>
      </c>
      <c r="F35" s="91">
        <f t="shared" si="12"/>
        <v>417.1737559325658</v>
      </c>
      <c r="G35" s="91">
        <f t="shared" si="12"/>
        <v>459.0819510361842</v>
      </c>
      <c r="H35" s="91">
        <f t="shared" si="12"/>
        <v>465.0688360509868</v>
      </c>
      <c r="I35" s="91">
        <f t="shared" si="12"/>
        <v>470.8027807763157</v>
      </c>
      <c r="J35" s="91">
        <f t="shared" si="12"/>
        <v>485.65804907894744</v>
      </c>
      <c r="K35" s="91">
        <f t="shared" si="12"/>
        <v>500.513317381579</v>
      </c>
      <c r="L35" s="91">
        <f t="shared" si="12"/>
        <v>511.78637018421085</v>
      </c>
      <c r="M35" s="99" t="str">
        <f t="shared" si="11"/>
        <v> </v>
      </c>
    </row>
    <row r="36" spans="1:13" ht="12">
      <c r="A36" s="38">
        <v>29000</v>
      </c>
      <c r="B36" s="91">
        <f aca="true" t="shared" si="13" ref="B36:L36">(((B21*CHPrice*SensCarea)+((Tarea-SensCarea)*NRRA))-((1+(IntR/2))*(SensCarea*((SensPPop/CEPct)/1000)*SPrice)+(SensCarea*OVC)+((1+(IntR/2))*SensCarea*NRate*B21*NPrice)+((1+(IntR/2))*SensCarea*Prate*B21*PPrice)+((1+(IntR/2))*SensCarea*HBase)+((1+(IntR/2))*SensCarea*(HERate*(B21-HLevel)))+((1+(IntR/2))*SensCarea*Haul*B21)+((1+(IntR/2))*SensCarea*IAmt*(IFuel+IRepair))))/Tarea</f>
        <v>40</v>
      </c>
      <c r="C36" s="91">
        <f t="shared" si="13"/>
        <v>147.07281283470394</v>
      </c>
      <c r="D36" s="91">
        <f t="shared" si="13"/>
        <v>254.1456256694079</v>
      </c>
      <c r="E36" s="91">
        <f t="shared" si="13"/>
        <v>361.2184385041119</v>
      </c>
      <c r="F36" s="91">
        <f t="shared" si="13"/>
        <v>425.46212620493407</v>
      </c>
      <c r="G36" s="91">
        <f t="shared" si="13"/>
        <v>468.2912513388158</v>
      </c>
      <c r="H36" s="91">
        <f t="shared" si="13"/>
        <v>474.40969778651305</v>
      </c>
      <c r="I36" s="91">
        <f t="shared" si="13"/>
        <v>480.3409846611845</v>
      </c>
      <c r="J36" s="91">
        <f t="shared" si="13"/>
        <v>495.52515654605276</v>
      </c>
      <c r="K36" s="91">
        <f t="shared" si="13"/>
        <v>507.239057165296</v>
      </c>
      <c r="L36" s="91">
        <f t="shared" si="13"/>
        <v>522.3112848157896</v>
      </c>
      <c r="M36" s="99" t="str">
        <f t="shared" si="11"/>
        <v> </v>
      </c>
    </row>
    <row r="37" spans="1:13" ht="12">
      <c r="A37" s="38">
        <v>30000</v>
      </c>
      <c r="B37" s="91">
        <f aca="true" t="shared" si="14" ref="B37:L37">(((B22*CHPrice*SensCarea)+((Tarea-SensCarea)*NRRA))-((1+(IntR/2))*(SensCarea*((SensPPop/CEPct)/1000)*SPrice)+(SensCarea*OVC)+((1+(IntR/2))*SensCarea*NRate*B22*NPrice)+((1+(IntR/2))*SensCarea*Prate*B22*PPrice)+((1+(IntR/2))*SensCarea*HBase)+((1+(IntR/2))*SensCarea*(HERate*(B22-HLevel)))+((1+(IntR/2))*SensCarea*Haul*B22)+((1+(IntR/2))*SensCarea*IAmt*(IFuel+IRepair))))/Tarea</f>
        <v>40</v>
      </c>
      <c r="C37" s="91">
        <f t="shared" si="14"/>
        <v>149.3751379103619</v>
      </c>
      <c r="D37" s="91">
        <f t="shared" si="14"/>
        <v>258.7502758207238</v>
      </c>
      <c r="E37" s="91">
        <f t="shared" si="14"/>
        <v>368.12541373108553</v>
      </c>
      <c r="F37" s="91">
        <f t="shared" si="14"/>
        <v>433.75049647730265</v>
      </c>
      <c r="G37" s="91">
        <f t="shared" si="14"/>
        <v>477.5005516414476</v>
      </c>
      <c r="H37" s="91">
        <f t="shared" si="14"/>
        <v>480.57134326578955</v>
      </c>
      <c r="I37" s="91">
        <f t="shared" si="14"/>
        <v>489.87918854605266</v>
      </c>
      <c r="J37" s="91">
        <f t="shared" si="14"/>
        <v>505.3922640131579</v>
      </c>
      <c r="K37" s="91">
        <f t="shared" si="14"/>
        <v>517.4350682146381</v>
      </c>
      <c r="L37" s="91">
        <f t="shared" si="14"/>
        <v>529.2539839473685</v>
      </c>
      <c r="M37" s="99" t="str">
        <f t="shared" si="11"/>
        <v> </v>
      </c>
    </row>
    <row r="38" spans="1:13" ht="12">
      <c r="A38" s="38">
        <v>31000</v>
      </c>
      <c r="B38" s="91">
        <f aca="true" t="shared" si="15" ref="B38:L38">(((B23*CHPrice*SensCarea)+((Tarea-SensCarea)*NRRA))-((1+(IntR/2))*(SensCarea*((SensPPop/CEPct)/1000)*SPrice)+(SensCarea*OVC)+((1+(IntR/2))*SensCarea*NRate*B23*NPrice)+((1+(IntR/2))*SensCarea*Prate*B23*PPrice)+((1+(IntR/2))*SensCarea*HBase)+((1+(IntR/2))*SensCarea*(HERate*(B23-HLevel)))+((1+(IntR/2))*SensCarea*Haul*B23)+((1+(IntR/2))*SensCarea*IAmt*(IFuel+IRepair))))/Tarea</f>
        <v>40</v>
      </c>
      <c r="C38" s="91">
        <f t="shared" si="15"/>
        <v>151.67746298601975</v>
      </c>
      <c r="D38" s="91">
        <f t="shared" si="15"/>
        <v>263.3549259720395</v>
      </c>
      <c r="E38" s="91">
        <f t="shared" si="15"/>
        <v>375.03238895805924</v>
      </c>
      <c r="F38" s="91">
        <f t="shared" si="15"/>
        <v>442.03886674967123</v>
      </c>
      <c r="G38" s="91">
        <f t="shared" si="15"/>
        <v>486.70985194407893</v>
      </c>
      <c r="H38" s="91">
        <f t="shared" si="15"/>
        <v>489.91220500131567</v>
      </c>
      <c r="I38" s="91">
        <f t="shared" si="15"/>
        <v>499.41739243092104</v>
      </c>
      <c r="J38" s="91">
        <f t="shared" si="15"/>
        <v>511.90104444901317</v>
      </c>
      <c r="K38" s="91">
        <f t="shared" si="15"/>
        <v>527.6310792639803</v>
      </c>
      <c r="L38" s="91">
        <f t="shared" si="15"/>
        <v>539.7788985789474</v>
      </c>
      <c r="M38" s="99" t="str">
        <f t="shared" si="11"/>
        <v> </v>
      </c>
    </row>
    <row r="39" spans="1:13" ht="12">
      <c r="A39" s="38">
        <v>32000</v>
      </c>
      <c r="B39" s="91">
        <f aca="true" t="shared" si="16" ref="B39:L39">(((B24*CHPrice*SensCarea)+((Tarea-SensCarea)*NRRA))-((1+(IntR/2))*(SensCarea*((SensPPop/CEPct)/1000)*SPrice)+(SensCarea*OVC)+((1+(IntR/2))*SensCarea*NRate*B24*NPrice)+((1+(IntR/2))*SensCarea*Prate*B24*PPrice)+((1+(IntR/2))*SensCarea*HBase)+((1+(IntR/2))*SensCarea*(HERate*(B24-HLevel)))+((1+(IntR/2))*SensCarea*Haul*B24)+((1+(IntR/2))*SensCarea*IAmt*(IFuel+IRepair))))/Tarea</f>
        <v>40</v>
      </c>
      <c r="C39" s="91">
        <f t="shared" si="16"/>
        <v>154.76339770230263</v>
      </c>
      <c r="D39" s="91">
        <f t="shared" si="16"/>
        <v>269.52679540460525</v>
      </c>
      <c r="E39" s="91">
        <f t="shared" si="16"/>
        <v>384.2901931069079</v>
      </c>
      <c r="F39" s="91">
        <f t="shared" si="16"/>
        <v>453.14823172828966</v>
      </c>
      <c r="G39" s="91">
        <f t="shared" si="16"/>
        <v>492.7847136842106</v>
      </c>
      <c r="H39" s="91">
        <f t="shared" si="16"/>
        <v>499.253066736842</v>
      </c>
      <c r="I39" s="91">
        <f t="shared" si="16"/>
        <v>508.9555963157894</v>
      </c>
      <c r="J39" s="91">
        <f t="shared" si="16"/>
        <v>521.7681519161184</v>
      </c>
      <c r="K39" s="91">
        <f t="shared" si="16"/>
        <v>534.3568190476976</v>
      </c>
      <c r="L39" s="91">
        <f t="shared" si="16"/>
        <v>546.7215977105263</v>
      </c>
      <c r="M39" s="99" t="str">
        <f t="shared" si="11"/>
        <v> </v>
      </c>
    </row>
    <row r="40" spans="1:13" ht="12">
      <c r="A40" s="38">
        <v>33000</v>
      </c>
      <c r="B40" s="91">
        <f aca="true" t="shared" si="17" ref="B40:L40">(((B25*CHPrice*SensCarea)+((Tarea-SensCarea)*NRRA))-((1+(IntR/2))*(SensCarea*((SensPPop/CEPct)/1000)*SPrice)+(SensCarea*OVC)+((1+(IntR/2))*SensCarea*NRate*B25*NPrice)+((1+(IntR/2))*SensCarea*Prate*B25*PPrice)+((1+(IntR/2))*SensCarea*HBase)+((1+(IntR/2))*SensCarea*(HERate*(B25-HLevel)))+((1+(IntR/2))*SensCarea*Haul*B25)+((1+(IntR/2))*SensCarea*IAmt*(IFuel+IRepair))))/Tarea</f>
        <v>40</v>
      </c>
      <c r="C40" s="91">
        <f t="shared" si="17"/>
        <v>157.0657227779605</v>
      </c>
      <c r="D40" s="91">
        <f t="shared" si="17"/>
        <v>274.131445555921</v>
      </c>
      <c r="E40" s="91">
        <f t="shared" si="17"/>
        <v>391.1971683338817</v>
      </c>
      <c r="F40" s="91">
        <f t="shared" si="17"/>
        <v>461.43660200065807</v>
      </c>
      <c r="G40" s="91">
        <f t="shared" si="17"/>
        <v>501.9940139868422</v>
      </c>
      <c r="H40" s="91">
        <f t="shared" si="17"/>
        <v>508.5939284723684</v>
      </c>
      <c r="I40" s="91">
        <f t="shared" si="17"/>
        <v>518.4938002006579</v>
      </c>
      <c r="J40" s="91">
        <f t="shared" si="17"/>
        <v>531.6352593832238</v>
      </c>
      <c r="K40" s="91">
        <f t="shared" si="17"/>
        <v>544.5528300970395</v>
      </c>
      <c r="L40" s="91">
        <f t="shared" si="17"/>
        <v>557.2465123421055</v>
      </c>
      <c r="M40" s="99" t="str">
        <f t="shared" si="11"/>
        <v> </v>
      </c>
    </row>
    <row r="41" spans="1:13" ht="12">
      <c r="A41" s="38">
        <v>34000</v>
      </c>
      <c r="B41" s="91">
        <f aca="true" t="shared" si="18" ref="B41:L41">(((B26*CHPrice*SensCarea)+((Tarea-SensCarea)*NRRA))-((1+(IntR/2))*(SensCarea*((SensPPop/CEPct)/1000)*SPrice)+(SensCarea*OVC)+((1+(IntR/2))*SensCarea*NRate*B26*NPrice)+((1+(IntR/2))*SensCarea*Prate*B26*PPrice)+((1+(IntR/2))*SensCarea*HBase)+((1+(IntR/2))*SensCarea*(HERate*(B26-HLevel)))+((1+(IntR/2))*SensCarea*Haul*B26)+((1+(IntR/2))*SensCarea*IAmt*(IFuel+IRepair))))/Tarea</f>
        <v>40</v>
      </c>
      <c r="C41" s="91">
        <f t="shared" si="18"/>
        <v>159.36804785361844</v>
      </c>
      <c r="D41" s="91">
        <f t="shared" si="18"/>
        <v>278.73609570723687</v>
      </c>
      <c r="E41" s="91">
        <f t="shared" si="18"/>
        <v>398.1041435608553</v>
      </c>
      <c r="F41" s="91">
        <f t="shared" si="18"/>
        <v>469.7249722730263</v>
      </c>
      <c r="G41" s="91">
        <f t="shared" si="18"/>
        <v>511.20331428947395</v>
      </c>
      <c r="H41" s="91">
        <f t="shared" si="18"/>
        <v>517.9347902078948</v>
      </c>
      <c r="I41" s="91">
        <f t="shared" si="18"/>
        <v>524.7856212886513</v>
      </c>
      <c r="J41" s="91">
        <f t="shared" si="18"/>
        <v>541.5023668503289</v>
      </c>
      <c r="K41" s="91">
        <f t="shared" si="18"/>
        <v>554.7488411463817</v>
      </c>
      <c r="L41" s="91">
        <f t="shared" si="18"/>
        <v>567.7714269736842</v>
      </c>
      <c r="M41" s="99" t="str">
        <f t="shared" si="11"/>
        <v> </v>
      </c>
    </row>
    <row r="42" spans="1:13" ht="12">
      <c r="A42" s="39">
        <v>35000</v>
      </c>
      <c r="B42" s="91">
        <f aca="true" t="shared" si="19" ref="B42:L42">(((B27*CHPrice*SensCarea)+((Tarea-SensCarea)*NRRA))-((1+(IntR/2))*(SensCarea*((SensPPop/CEPct)/1000)*SPrice)+(SensCarea*OVC)+((1+(IntR/2))*SensCarea*NRate*B27*NPrice)+((1+(IntR/2))*SensCarea*Prate*B27*PPrice)+((1+(IntR/2))*SensCarea*HBase)+((1+(IntR/2))*SensCarea*(HERate*(B27-HLevel)))+((1+(IntR/2))*SensCarea*Haul*B27)+((1+(IntR/2))*SensCarea*IAmt*(IFuel+IRepair))))/Tarea</f>
        <v>40</v>
      </c>
      <c r="C42" s="91">
        <f t="shared" si="19"/>
        <v>161.6703729292763</v>
      </c>
      <c r="D42" s="91">
        <f t="shared" si="19"/>
        <v>283.3407458585526</v>
      </c>
      <c r="E42" s="91">
        <f t="shared" si="19"/>
        <v>405.01111878782905</v>
      </c>
      <c r="F42" s="91">
        <f t="shared" si="19"/>
        <v>478.0133425453949</v>
      </c>
      <c r="G42" s="91">
        <f t="shared" si="19"/>
        <v>520.4126145921055</v>
      </c>
      <c r="H42" s="91">
        <f t="shared" si="19"/>
        <v>527.2756519434213</v>
      </c>
      <c r="I42" s="91">
        <f t="shared" si="19"/>
        <v>534.3238251735198</v>
      </c>
      <c r="J42" s="91">
        <f t="shared" si="19"/>
        <v>548.0111472861843</v>
      </c>
      <c r="K42" s="91">
        <f t="shared" si="19"/>
        <v>561.4745809300987</v>
      </c>
      <c r="L42" s="91">
        <f t="shared" si="19"/>
        <v>574.7141261052634</v>
      </c>
      <c r="M42" s="99">
        <f t="shared" si="11"/>
        <v>42</v>
      </c>
    </row>
    <row r="43" spans="1:13" ht="9.75" customHeight="1">
      <c r="A43" s="100">
        <f>COLUMN()</f>
        <v>1</v>
      </c>
      <c r="B43" s="112" t="str">
        <f>IF(MAX(B33:B42)=MAX($B$33:$L$42),COLUMN()," ")</f>
        <v> </v>
      </c>
      <c r="C43" s="112" t="str">
        <f>IF(MAX(C33:C42)=MAX($B$33:$L$42),COLUMN()," ")</f>
        <v> </v>
      </c>
      <c r="D43" s="113" t="str">
        <f aca="true" t="shared" si="20" ref="D43:L43">IF(MAX(D33:D42)=MAX($B$33:$L$42),COLUMN()," ")</f>
        <v> </v>
      </c>
      <c r="E43" s="113" t="str">
        <f t="shared" si="20"/>
        <v> </v>
      </c>
      <c r="F43" s="113" t="str">
        <f t="shared" si="20"/>
        <v> </v>
      </c>
      <c r="G43" s="113" t="str">
        <f t="shared" si="20"/>
        <v> </v>
      </c>
      <c r="H43" s="113" t="str">
        <f t="shared" si="20"/>
        <v> </v>
      </c>
      <c r="I43" s="113" t="str">
        <f t="shared" si="20"/>
        <v> </v>
      </c>
      <c r="J43" s="113" t="str">
        <f t="shared" si="20"/>
        <v> </v>
      </c>
      <c r="K43" s="113" t="str">
        <f t="shared" si="20"/>
        <v> </v>
      </c>
      <c r="L43" s="114">
        <f t="shared" si="20"/>
        <v>12</v>
      </c>
      <c r="M43" s="100"/>
    </row>
    <row r="44" spans="1:13" ht="18">
      <c r="A44" s="41" t="s">
        <v>107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9.5" customHeight="1">
      <c r="A45" s="93" t="s">
        <v>108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2" t="s">
        <v>24</v>
      </c>
      <c r="B46" s="1"/>
      <c r="C46" s="1"/>
      <c r="D46" s="1"/>
      <c r="E46" s="1"/>
      <c r="F46" s="1"/>
      <c r="G46" s="3"/>
      <c r="H46" s="2" t="s">
        <v>44</v>
      </c>
      <c r="I46" s="1"/>
      <c r="J46" s="1"/>
      <c r="K46" s="1"/>
      <c r="L46" s="1"/>
      <c r="M46" s="1"/>
    </row>
    <row r="47" spans="1:13" ht="12">
      <c r="A47" s="1" t="s">
        <v>0</v>
      </c>
      <c r="B47" s="1"/>
      <c r="C47" s="1"/>
      <c r="D47" s="1"/>
      <c r="E47" s="1"/>
      <c r="F47" s="4">
        <f>GPM</f>
        <v>600</v>
      </c>
      <c r="G47" s="1"/>
      <c r="H47" s="1" t="s">
        <v>13</v>
      </c>
      <c r="I47" s="1"/>
      <c r="J47" s="1"/>
      <c r="K47" s="4">
        <f>AET</f>
        <v>23</v>
      </c>
      <c r="L47" s="1"/>
      <c r="M47" s="1"/>
    </row>
    <row r="48" spans="1:13" ht="12">
      <c r="A48" s="1" t="s">
        <v>1</v>
      </c>
      <c r="B48" s="1"/>
      <c r="C48" s="1"/>
      <c r="D48" s="1"/>
      <c r="E48" s="1"/>
      <c r="F48" s="4">
        <f>Tarea</f>
        <v>160</v>
      </c>
      <c r="G48" s="1"/>
      <c r="H48" s="1" t="s">
        <v>8</v>
      </c>
      <c r="I48" s="1"/>
      <c r="J48" s="1"/>
      <c r="K48" s="4">
        <f>Rain</f>
        <v>12</v>
      </c>
      <c r="L48" s="1"/>
      <c r="M48" s="1"/>
    </row>
    <row r="49" spans="1:13" ht="12">
      <c r="A49" s="1" t="s">
        <v>10</v>
      </c>
      <c r="B49" s="1"/>
      <c r="C49" s="1"/>
      <c r="D49" s="1"/>
      <c r="E49" s="1"/>
      <c r="F49" s="95">
        <f>PPop</f>
        <v>28000</v>
      </c>
      <c r="G49" s="1"/>
      <c r="H49" s="1"/>
      <c r="I49" s="1"/>
      <c r="J49" s="1"/>
      <c r="K49" s="1"/>
      <c r="L49" s="1"/>
      <c r="M49" s="1"/>
    </row>
    <row r="50" spans="1:13" ht="12">
      <c r="A50" s="1" t="s">
        <v>45</v>
      </c>
      <c r="B50" s="1"/>
      <c r="C50" s="1"/>
      <c r="D50" s="1"/>
      <c r="E50" s="1"/>
      <c r="F50" s="94">
        <f>SPrice</f>
        <v>3.5</v>
      </c>
      <c r="G50" s="1"/>
      <c r="H50" s="1"/>
      <c r="I50" s="1"/>
      <c r="J50" s="1"/>
      <c r="K50" s="1"/>
      <c r="L50" s="1"/>
      <c r="M50" s="1"/>
    </row>
    <row r="51" spans="1:13" ht="12">
      <c r="A51" s="1" t="s">
        <v>72</v>
      </c>
      <c r="B51" s="1"/>
      <c r="C51" s="1"/>
      <c r="D51" s="1"/>
      <c r="E51" s="1"/>
      <c r="F51" s="94">
        <f>CHPrice</f>
        <v>4.7</v>
      </c>
      <c r="G51" s="1"/>
      <c r="H51" s="1"/>
      <c r="I51" s="1"/>
      <c r="J51" s="1"/>
      <c r="K51" s="1"/>
      <c r="L51" s="1"/>
      <c r="M51" s="1"/>
    </row>
    <row r="52" spans="1:13" ht="12">
      <c r="A52" s="1" t="s">
        <v>9</v>
      </c>
      <c r="B52" s="1"/>
      <c r="C52" s="1"/>
      <c r="D52" s="1"/>
      <c r="E52" s="1"/>
      <c r="F52" s="94">
        <f>NRRA</f>
        <v>40</v>
      </c>
      <c r="G52" s="1"/>
      <c r="H52" s="1"/>
      <c r="I52" s="1"/>
      <c r="J52" s="1"/>
      <c r="K52" s="1"/>
      <c r="L52" s="1"/>
      <c r="M52" s="1"/>
    </row>
    <row r="53" spans="1:13" ht="19.5" customHeight="1">
      <c r="A53" s="97" t="s">
        <v>109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97" t="s">
        <v>110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">
      <c r="A55" s="32" t="s">
        <v>111</v>
      </c>
      <c r="B55" s="32"/>
      <c r="C55" s="32"/>
      <c r="D55" s="32"/>
      <c r="E55" s="32">
        <f>INDEX($B$6:$L$6,1,MAX($B$43:$L$43)-$A$43)</f>
        <v>160</v>
      </c>
      <c r="F55" s="32"/>
      <c r="G55" s="32" t="s">
        <v>118</v>
      </c>
      <c r="H55" s="32"/>
      <c r="I55" s="32"/>
      <c r="J55" s="32">
        <f>NRate</f>
        <v>1.1</v>
      </c>
      <c r="K55" s="32"/>
      <c r="L55" s="32"/>
      <c r="M55" s="32"/>
    </row>
    <row r="56" spans="1:13" ht="12">
      <c r="A56" s="32" t="s">
        <v>113</v>
      </c>
      <c r="B56" s="32"/>
      <c r="C56" s="32"/>
      <c r="D56" s="32"/>
      <c r="E56" s="101">
        <f>INDEX($A$33:$A$42,MAX($M$33:$M$42)-$M$32,1)</f>
        <v>35000</v>
      </c>
      <c r="F56" s="32"/>
      <c r="G56" s="32" t="s">
        <v>117</v>
      </c>
      <c r="H56" s="32"/>
      <c r="I56" s="32"/>
      <c r="J56" s="103">
        <f>J55*E60</f>
        <v>305.8</v>
      </c>
      <c r="K56" s="32"/>
      <c r="L56" s="32"/>
      <c r="M56" s="32"/>
    </row>
    <row r="57" spans="1:13" ht="12">
      <c r="A57" s="32" t="s">
        <v>112</v>
      </c>
      <c r="B57" s="32"/>
      <c r="C57" s="32"/>
      <c r="D57" s="32"/>
      <c r="E57" s="98">
        <f>CEPct</f>
        <v>0.95</v>
      </c>
      <c r="F57" s="32"/>
      <c r="G57" s="32" t="s">
        <v>119</v>
      </c>
      <c r="H57" s="32"/>
      <c r="I57" s="32"/>
      <c r="J57" s="32">
        <f>Prate</f>
        <v>0.43</v>
      </c>
      <c r="K57" s="32"/>
      <c r="L57" s="32"/>
      <c r="M57" s="32"/>
    </row>
    <row r="58" spans="1:13" ht="12">
      <c r="A58" s="32" t="s">
        <v>114</v>
      </c>
      <c r="B58" s="32"/>
      <c r="C58" s="32"/>
      <c r="D58" s="32"/>
      <c r="E58" s="101">
        <f>E56/E57</f>
        <v>36842.10526315789</v>
      </c>
      <c r="F58" s="32"/>
      <c r="G58" s="32" t="s">
        <v>119</v>
      </c>
      <c r="H58" s="32"/>
      <c r="I58" s="32"/>
      <c r="J58" s="103">
        <f>J57*E60</f>
        <v>119.53999999999999</v>
      </c>
      <c r="K58" s="32"/>
      <c r="L58" s="32"/>
      <c r="M58" s="32"/>
    </row>
    <row r="59" spans="1:13" ht="1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">
      <c r="A60" s="32" t="s">
        <v>121</v>
      </c>
      <c r="B60" s="32"/>
      <c r="C60" s="32"/>
      <c r="D60" s="32"/>
      <c r="E60" s="32">
        <f>INDEX($B$18:$L$27,MAX($M$33:$M$42)-$M$32,MAX($B$43:$L$43)-$A$43)</f>
        <v>278</v>
      </c>
      <c r="F60" s="32"/>
      <c r="G60" s="32" t="s">
        <v>115</v>
      </c>
      <c r="H60" s="32"/>
      <c r="I60" s="32"/>
      <c r="J60" s="104">
        <f>INDEX($B$8:$L$8,1,MAX($B$43:$L$43)-$A$43)</f>
        <v>0.19887744729747647</v>
      </c>
      <c r="K60" s="32"/>
      <c r="L60" s="32"/>
      <c r="M60" s="32"/>
    </row>
    <row r="61" spans="1:13" ht="12.75">
      <c r="A61" s="32" t="s">
        <v>120</v>
      </c>
      <c r="B61" s="32"/>
      <c r="C61" s="32"/>
      <c r="D61" s="32"/>
      <c r="E61" s="124">
        <f>INDEX($B$33:$L$42,MAX($M$33:$M$42)-$M$32,MAX($B$43:$L$43)-$A$43)</f>
        <v>574.7141261052634</v>
      </c>
      <c r="F61" s="32"/>
      <c r="G61" s="32" t="s">
        <v>116</v>
      </c>
      <c r="H61" s="32"/>
      <c r="I61" s="32"/>
      <c r="J61" s="102">
        <f>INDEX($B$11:$L$11,1,MAX($B$43:$L$43)-$A$43)</f>
        <v>11.8</v>
      </c>
      <c r="K61" s="32"/>
      <c r="L61" s="32"/>
      <c r="M61" s="32"/>
    </row>
    <row r="62" spans="1:13" ht="12">
      <c r="A62" s="31" t="s">
        <v>122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8" customHeight="1">
      <c r="A63" s="96" t="s">
        <v>125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75">
      <c r="A64" s="32" t="s">
        <v>123</v>
      </c>
      <c r="B64" s="32"/>
      <c r="C64" s="32"/>
      <c r="D64" s="32"/>
      <c r="E64" s="32"/>
      <c r="F64" s="105"/>
      <c r="G64" s="32"/>
      <c r="H64" s="32"/>
      <c r="I64" s="32"/>
      <c r="J64" s="32"/>
      <c r="K64" s="32"/>
      <c r="L64" s="32"/>
      <c r="M64" s="32"/>
    </row>
    <row r="65" spans="1:13" ht="12.75">
      <c r="A65" s="32" t="s">
        <v>124</v>
      </c>
      <c r="B65" s="32"/>
      <c r="C65" s="32"/>
      <c r="D65" s="32"/>
      <c r="E65" s="32"/>
      <c r="F65" s="105"/>
      <c r="G65" s="32"/>
      <c r="H65" s="32"/>
      <c r="I65" s="32"/>
      <c r="J65" s="32"/>
      <c r="K65" s="32"/>
      <c r="L65" s="32"/>
      <c r="M65" s="32"/>
    </row>
    <row r="66" spans="1:13" ht="12.75">
      <c r="A66" s="32" t="s">
        <v>126</v>
      </c>
      <c r="B66" s="32"/>
      <c r="C66" s="32"/>
      <c r="D66" s="32"/>
      <c r="E66" s="32"/>
      <c r="F66" s="105"/>
      <c r="G66" s="32"/>
      <c r="H66" s="32"/>
      <c r="I66" s="32"/>
      <c r="J66" s="32"/>
      <c r="K66" s="32"/>
      <c r="L66" s="32"/>
      <c r="M66" s="32"/>
    </row>
    <row r="67" spans="1:13" ht="12.75">
      <c r="A67" s="32" t="s">
        <v>127</v>
      </c>
      <c r="B67" s="106"/>
      <c r="C67" s="106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.75">
      <c r="A68" s="32" t="s">
        <v>128</v>
      </c>
      <c r="B68" s="106"/>
      <c r="C68" s="106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8" customHeight="1">
      <c r="A69" s="52" t="s">
        <v>160</v>
      </c>
      <c r="B69" s="32"/>
      <c r="C69" s="32"/>
      <c r="D69" s="32"/>
      <c r="E69" s="32"/>
      <c r="F69" s="32"/>
      <c r="G69" s="32"/>
      <c r="H69" s="32"/>
      <c r="I69" s="32"/>
      <c r="J69" s="32"/>
      <c r="K69" s="107">
        <f>INDEX($B$18:$L$27,MAX($M$18:$M$27)-$M$17,MAX($B$28:$L$28)-$A$28)</f>
        <v>284</v>
      </c>
      <c r="L69" s="32"/>
      <c r="M69" s="32"/>
    </row>
    <row r="70" spans="1:13" ht="13.5">
      <c r="A70" s="52" t="s">
        <v>129</v>
      </c>
      <c r="B70" s="32"/>
      <c r="C70" s="32"/>
      <c r="D70" s="32"/>
      <c r="E70" s="129">
        <f>INDEX($B$6:$L$6,1,MAX($B$28:$L$28)-$A$28)</f>
        <v>126</v>
      </c>
      <c r="F70" s="52" t="s">
        <v>130</v>
      </c>
      <c r="G70" s="32"/>
      <c r="H70" s="32"/>
      <c r="I70" s="32"/>
      <c r="J70" s="115">
        <f>INDEX($A$18:$A$27,SUM($M$18:$M$27)-$M$17,1)</f>
        <v>35000</v>
      </c>
      <c r="K70" s="32"/>
      <c r="L70" s="32"/>
      <c r="M70" s="32"/>
    </row>
    <row r="71" spans="1:13" ht="13.5">
      <c r="A71" s="52" t="s">
        <v>138</v>
      </c>
      <c r="B71" s="32"/>
      <c r="C71" s="32"/>
      <c r="D71" s="32"/>
      <c r="E71" s="32"/>
      <c r="F71" s="32"/>
      <c r="G71" s="109">
        <f>INDEX($B$33:$L$42,MAX($M$18:$M$27)-$M$17,MAX($B$28:$L$28)-$A$28)</f>
        <v>478.0133425453949</v>
      </c>
      <c r="H71" s="52" t="str">
        <f>IF(G71&lt;E61,"that is lower than suggested plan.","that is equal to the suggested plan.")</f>
        <v>that is lower than suggested plan.</v>
      </c>
      <c r="I71" s="32"/>
      <c r="J71" s="32"/>
      <c r="K71" s="32"/>
      <c r="L71" s="32"/>
      <c r="M71" s="32"/>
    </row>
    <row r="72" spans="1:13" ht="12">
      <c r="A72" s="107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</sheetData>
  <sheetProtection sheet="1" objects="1" scenarios="1"/>
  <printOptions/>
  <pageMargins left="0.75" right="0.75" top="0.5" bottom="0.63" header="0.5" footer="0.35"/>
  <pageSetup horizontalDpi="600" verticalDpi="600" orientation="landscape" r:id="rId2"/>
  <headerFooter alignWithMargins="0">
    <oddFooter>&amp;L&amp;F   &amp;A    F.R. Lamm and D. M. O'Brien&amp;R&amp;D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58.421875" style="0" customWidth="1"/>
    <col min="3" max="3" width="6.8515625" style="0" customWidth="1"/>
    <col min="7" max="7" width="11.421875" style="0" customWidth="1"/>
  </cols>
  <sheetData>
    <row r="1" spans="1:7" ht="17.25">
      <c r="A1" s="8" t="s">
        <v>17</v>
      </c>
      <c r="B1" s="1"/>
      <c r="C1" s="1"/>
      <c r="D1" s="1"/>
      <c r="E1" s="1"/>
      <c r="F1" s="1"/>
      <c r="G1" s="1"/>
    </row>
    <row r="2" spans="1:7" ht="12">
      <c r="A2" s="1" t="s">
        <v>18</v>
      </c>
      <c r="B2" s="1"/>
      <c r="C2" s="1"/>
      <c r="D2" s="1"/>
      <c r="E2" s="1"/>
      <c r="F2" s="1"/>
      <c r="G2" s="1"/>
    </row>
    <row r="3" spans="1:7" ht="12">
      <c r="A3" s="1" t="s">
        <v>19</v>
      </c>
      <c r="B3" s="1" t="s">
        <v>20</v>
      </c>
      <c r="C3" s="1"/>
      <c r="D3" s="1"/>
      <c r="E3" s="1"/>
      <c r="F3" s="1"/>
      <c r="G3" s="1"/>
    </row>
    <row r="4" spans="1:7" ht="12">
      <c r="A4" s="1"/>
      <c r="B4" s="1" t="s">
        <v>21</v>
      </c>
      <c r="C4" s="1"/>
      <c r="D4" s="1"/>
      <c r="E4" s="1"/>
      <c r="F4" s="1"/>
      <c r="G4" s="1"/>
    </row>
    <row r="5" spans="1:7" ht="12">
      <c r="A5" s="1"/>
      <c r="B5" s="1" t="s">
        <v>22</v>
      </c>
      <c r="C5" s="1"/>
      <c r="D5" s="1"/>
      <c r="E5" s="1"/>
      <c r="F5" s="1"/>
      <c r="G5" s="1"/>
    </row>
    <row r="6" spans="1:7" ht="12.75">
      <c r="A6" s="6" t="s">
        <v>31</v>
      </c>
      <c r="B6" s="1"/>
      <c r="C6" s="1"/>
      <c r="D6" s="1"/>
      <c r="E6" s="1"/>
      <c r="F6" s="1"/>
      <c r="G6" s="1"/>
    </row>
    <row r="7" spans="1:7" ht="12.75">
      <c r="A7" s="6" t="s">
        <v>39</v>
      </c>
      <c r="B7" s="1"/>
      <c r="C7" s="1"/>
      <c r="D7" s="1"/>
      <c r="E7" s="1"/>
      <c r="F7" s="1"/>
      <c r="G7" s="1"/>
    </row>
    <row r="8" spans="1:7" ht="21.75" customHeight="1">
      <c r="A8" s="8" t="s">
        <v>23</v>
      </c>
      <c r="B8" s="1"/>
      <c r="C8" s="1"/>
      <c r="D8" s="1"/>
      <c r="E8" s="1"/>
      <c r="F8" s="1"/>
      <c r="G8" s="1"/>
    </row>
    <row r="9" spans="1:7" ht="14.25">
      <c r="A9" s="1" t="s">
        <v>79</v>
      </c>
      <c r="B9" s="1"/>
      <c r="C9" s="1"/>
      <c r="D9" s="1"/>
      <c r="E9" s="1"/>
      <c r="F9" s="1"/>
      <c r="G9" s="1"/>
    </row>
    <row r="10" spans="1:7" ht="12">
      <c r="A10" s="1" t="s">
        <v>76</v>
      </c>
      <c r="B10" s="1"/>
      <c r="C10" s="1"/>
      <c r="D10" s="1"/>
      <c r="E10" s="1"/>
      <c r="F10" s="1"/>
      <c r="G10" s="1"/>
    </row>
    <row r="11" spans="1:7" ht="12">
      <c r="A11" s="1" t="s">
        <v>25</v>
      </c>
      <c r="B11" s="1" t="s">
        <v>26</v>
      </c>
      <c r="C11" s="1"/>
      <c r="D11" s="1"/>
      <c r="E11" s="1"/>
      <c r="F11" s="1"/>
      <c r="G11" s="1"/>
    </row>
    <row r="12" spans="1:7" ht="12">
      <c r="A12" s="1"/>
      <c r="B12" s="1" t="s">
        <v>27</v>
      </c>
      <c r="C12" s="1"/>
      <c r="D12" s="1"/>
      <c r="E12" s="1"/>
      <c r="F12" s="1"/>
      <c r="G12" s="1"/>
    </row>
    <row r="13" spans="1:7" ht="12">
      <c r="A13" s="1"/>
      <c r="B13" s="1" t="s">
        <v>28</v>
      </c>
      <c r="C13" s="1"/>
      <c r="D13" s="1"/>
      <c r="E13" s="1"/>
      <c r="F13" s="1"/>
      <c r="G13" s="1"/>
    </row>
    <row r="14" spans="1:7" ht="12">
      <c r="A14" s="1"/>
      <c r="B14" s="1" t="s">
        <v>29</v>
      </c>
      <c r="C14" s="1"/>
      <c r="D14" s="1"/>
      <c r="E14" s="1"/>
      <c r="F14" s="1"/>
      <c r="G14" s="1"/>
    </row>
    <row r="15" spans="1:7" ht="12">
      <c r="A15" s="1"/>
      <c r="B15" s="1" t="s">
        <v>30</v>
      </c>
      <c r="C15" s="1"/>
      <c r="D15" s="1"/>
      <c r="E15" s="1"/>
      <c r="F15" s="1"/>
      <c r="G15" s="1"/>
    </row>
    <row r="16" spans="1:7" ht="12">
      <c r="A16" s="1"/>
      <c r="B16" s="1" t="s">
        <v>87</v>
      </c>
      <c r="C16" s="1"/>
      <c r="D16" s="1"/>
      <c r="E16" s="1"/>
      <c r="F16" s="1"/>
      <c r="G16" s="1"/>
    </row>
    <row r="17" spans="1:7" ht="12.75">
      <c r="A17" s="1"/>
      <c r="B17" s="1" t="s">
        <v>81</v>
      </c>
      <c r="C17" s="9">
        <f>IF(AET-(Rain+IAmt)&lt;-2.5,-2.5,AET-(Rain+IAmt))</f>
        <v>-2</v>
      </c>
      <c r="D17" s="9" t="s">
        <v>42</v>
      </c>
      <c r="E17" s="5" t="str">
        <f>IF(AET-Rain+IAmt&lt;-2.5,"Value has been set to -2.5"," ")</f>
        <v> </v>
      </c>
      <c r="F17" s="1"/>
      <c r="G17" s="1"/>
    </row>
    <row r="18" spans="1:10" ht="12.75">
      <c r="A18" s="1" t="s">
        <v>84</v>
      </c>
      <c r="B18" s="1"/>
      <c r="C18" s="23">
        <f>ROUND(157+(5.335*(IrrDef))-(0.2932*(IrrDef)^2)+(0.00337*PPop)-(0.000273*((IrrDef)*PPop)),0)</f>
        <v>255</v>
      </c>
      <c r="D18" s="9" t="s">
        <v>33</v>
      </c>
      <c r="E18" s="13"/>
      <c r="F18" s="13"/>
      <c r="G18" s="13"/>
      <c r="H18" s="29"/>
      <c r="J18" s="25"/>
    </row>
    <row r="19" spans="1:7" ht="12.75">
      <c r="A19" s="6" t="s">
        <v>32</v>
      </c>
      <c r="B19" s="1"/>
      <c r="C19" s="1"/>
      <c r="D19" s="1"/>
      <c r="E19" s="1"/>
      <c r="F19" s="1"/>
      <c r="G19" s="1"/>
    </row>
    <row r="20" spans="1:7" ht="12.75">
      <c r="A20" s="6" t="s">
        <v>80</v>
      </c>
      <c r="B20" s="1"/>
      <c r="C20" s="1"/>
      <c r="D20" s="1"/>
      <c r="E20" s="1"/>
      <c r="F20" s="1"/>
      <c r="G20" s="1"/>
    </row>
    <row r="21" spans="1:7" ht="12.75">
      <c r="A21" s="6" t="s">
        <v>82</v>
      </c>
      <c r="B21" s="1"/>
      <c r="C21" s="1"/>
      <c r="D21" s="1"/>
      <c r="E21" s="1"/>
      <c r="F21" s="1"/>
      <c r="G21" s="1"/>
    </row>
    <row r="22" spans="1:7" ht="12.75">
      <c r="A22" s="6" t="s">
        <v>83</v>
      </c>
      <c r="B22" s="1"/>
      <c r="C22" s="1"/>
      <c r="D22" s="1"/>
      <c r="E22" s="1"/>
      <c r="F22" s="1"/>
      <c r="G22" s="1"/>
    </row>
    <row r="23" spans="1:7" ht="12.75">
      <c r="A23" s="6" t="s">
        <v>134</v>
      </c>
      <c r="B23" s="1"/>
      <c r="C23" s="1"/>
      <c r="D23" s="1"/>
      <c r="E23" s="1"/>
      <c r="F23" s="1"/>
      <c r="G23" s="1"/>
    </row>
    <row r="24" spans="1:7" ht="12">
      <c r="A24" s="11" t="s">
        <v>77</v>
      </c>
      <c r="B24" s="12"/>
      <c r="C24" s="12"/>
      <c r="D24" s="12"/>
      <c r="E24" s="12"/>
      <c r="F24" s="1"/>
      <c r="G24" s="1"/>
    </row>
    <row r="25" spans="1:7" ht="12">
      <c r="A25" s="11" t="s">
        <v>36</v>
      </c>
      <c r="B25" s="12"/>
      <c r="C25" s="12"/>
      <c r="D25" s="12"/>
      <c r="E25" s="12"/>
      <c r="F25" s="1"/>
      <c r="G25" s="1"/>
    </row>
    <row r="26" spans="1:7" ht="12">
      <c r="A26" s="11" t="s">
        <v>37</v>
      </c>
      <c r="B26" s="12"/>
      <c r="C26" s="12"/>
      <c r="D26" s="12"/>
      <c r="E26" s="12"/>
      <c r="F26" s="1"/>
      <c r="G26" s="1"/>
    </row>
    <row r="27" spans="1:7" ht="12.75">
      <c r="A27" s="6" t="s">
        <v>78</v>
      </c>
      <c r="B27" s="1"/>
      <c r="C27" s="1"/>
      <c r="D27" s="1"/>
      <c r="E27" s="1"/>
      <c r="F27" s="1"/>
      <c r="G27" s="1"/>
    </row>
    <row r="28" spans="1:7" ht="12.75">
      <c r="A28" s="6" t="s">
        <v>89</v>
      </c>
      <c r="B28" s="1"/>
      <c r="C28" s="1"/>
      <c r="D28" s="1"/>
      <c r="E28" s="1"/>
      <c r="F28" s="1"/>
      <c r="G28" s="1"/>
    </row>
    <row r="29" spans="1:7" ht="21.75" customHeight="1">
      <c r="A29" s="8" t="s">
        <v>34</v>
      </c>
      <c r="B29" s="1"/>
      <c r="C29" s="1"/>
      <c r="D29" s="1"/>
      <c r="E29" s="1"/>
      <c r="F29" s="1"/>
      <c r="G29" s="1"/>
    </row>
    <row r="30" spans="1:7" ht="14.25">
      <c r="A30" s="1" t="s">
        <v>74</v>
      </c>
      <c r="B30" s="1"/>
      <c r="C30" s="1"/>
      <c r="D30" s="1"/>
      <c r="E30" s="1"/>
      <c r="F30" s="1"/>
      <c r="G30" s="1"/>
    </row>
    <row r="31" spans="1:7" ht="12">
      <c r="A31" s="1" t="s">
        <v>25</v>
      </c>
      <c r="B31" s="1" t="s">
        <v>35</v>
      </c>
      <c r="C31" s="1"/>
      <c r="D31" s="1"/>
      <c r="E31" s="1"/>
      <c r="F31" s="1"/>
      <c r="G31" s="1"/>
    </row>
    <row r="32" spans="1:7" ht="12">
      <c r="A32" s="1"/>
      <c r="B32" s="1" t="s">
        <v>20</v>
      </c>
      <c r="C32" s="1"/>
      <c r="D32" s="1"/>
      <c r="E32" s="1"/>
      <c r="F32" s="1"/>
      <c r="G32" s="1"/>
    </row>
    <row r="33" spans="1:7" ht="12">
      <c r="A33" s="1"/>
      <c r="B33" s="1" t="s">
        <v>27</v>
      </c>
      <c r="C33" s="1"/>
      <c r="D33" s="1"/>
      <c r="E33" s="1"/>
      <c r="F33" s="1"/>
      <c r="G33" s="1"/>
    </row>
    <row r="34" spans="1:7" ht="12.75">
      <c r="A34" s="1"/>
      <c r="B34" s="1" t="s">
        <v>28</v>
      </c>
      <c r="C34" s="1"/>
      <c r="D34" s="1"/>
      <c r="E34" s="24"/>
      <c r="F34" s="24"/>
      <c r="G34" s="1"/>
    </row>
    <row r="35" spans="1:7" ht="12">
      <c r="A35" s="1"/>
      <c r="B35" s="1" t="s">
        <v>88</v>
      </c>
      <c r="C35" s="1"/>
      <c r="D35" s="1"/>
      <c r="E35" s="1"/>
      <c r="F35" s="1"/>
      <c r="G35" s="1"/>
    </row>
    <row r="36" spans="1:7" ht="12.75">
      <c r="A36" s="1" t="s">
        <v>85</v>
      </c>
      <c r="B36" s="1"/>
      <c r="C36" s="10">
        <f>IF(AET-Rain&lt;0,0,AET-Rain)</f>
        <v>11</v>
      </c>
      <c r="D36" s="9" t="s">
        <v>42</v>
      </c>
      <c r="E36" s="5" t="str">
        <f>IF(C36=0,"Note: Negative value set to 0"," ")</f>
        <v> </v>
      </c>
      <c r="F36" s="1"/>
      <c r="G36" s="1"/>
    </row>
    <row r="37" spans="1:7" ht="12.75">
      <c r="A37" s="1" t="s">
        <v>86</v>
      </c>
      <c r="B37" s="1"/>
      <c r="C37" s="10">
        <f>ROUND(((6.9*(IC*(AETRDef)))-(0.681*(IC*(AETRDef))^2)),1)</f>
        <v>13</v>
      </c>
      <c r="D37" s="9" t="s">
        <v>42</v>
      </c>
      <c r="E37" s="1"/>
      <c r="F37" s="1"/>
      <c r="G37" s="1"/>
    </row>
    <row r="38" spans="1:7" ht="12.75">
      <c r="A38" s="6" t="s">
        <v>38</v>
      </c>
      <c r="B38" s="1"/>
      <c r="C38" s="1"/>
      <c r="D38" s="1"/>
      <c r="E38" s="1"/>
      <c r="F38" s="1"/>
      <c r="G38" s="1"/>
    </row>
    <row r="39" spans="1:7" ht="12.75">
      <c r="A39" s="6" t="s">
        <v>41</v>
      </c>
      <c r="B39" s="1"/>
      <c r="C39" s="1"/>
      <c r="D39" s="1"/>
      <c r="E39" s="1"/>
      <c r="F39" s="1"/>
      <c r="G39" s="1"/>
    </row>
    <row r="40" spans="1:7" ht="12.75">
      <c r="A40" s="6" t="s">
        <v>75</v>
      </c>
      <c r="B40" s="1"/>
      <c r="C40" s="1"/>
      <c r="D40" s="1"/>
      <c r="E40" s="1"/>
      <c r="F40" s="1"/>
      <c r="G40" s="1"/>
    </row>
    <row r="41" spans="1:7" ht="12.75">
      <c r="A41" s="6" t="s">
        <v>40</v>
      </c>
      <c r="B41" s="1"/>
      <c r="C41" s="1"/>
      <c r="D41" s="1"/>
      <c r="E41" s="1"/>
      <c r="F41" s="1"/>
      <c r="G41" s="1"/>
    </row>
    <row r="42" spans="1:11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">
      <c r="A43" s="30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</sheetData>
  <sheetProtection sheet="1" objects="1" scenarios="1"/>
  <printOptions/>
  <pageMargins left="0.75" right="0.75" top="0.5" bottom="0.5" header="0.5" footer="0.35"/>
  <pageSetup horizontalDpi="600" verticalDpi="600" orientation="landscape" r:id="rId1"/>
  <headerFooter alignWithMargins="0">
    <oddFooter>&amp;L&amp;F &amp;   &amp;A    F.R. Lamm and DM O'Brien&amp;R&amp;D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3" max="3" width="12.57421875" style="0" customWidth="1"/>
  </cols>
  <sheetData>
    <row r="1" spans="1:3" ht="15">
      <c r="A1" s="17" t="s">
        <v>64</v>
      </c>
      <c r="B1" s="14"/>
      <c r="C1" s="14"/>
    </row>
    <row r="2" spans="1:3" ht="12.75" customHeight="1">
      <c r="A2" s="15" t="s">
        <v>73</v>
      </c>
      <c r="B2" s="26">
        <v>0.95</v>
      </c>
      <c r="C2" s="14"/>
    </row>
    <row r="3" spans="1:3" ht="21.75" customHeight="1">
      <c r="A3" s="15" t="s">
        <v>57</v>
      </c>
      <c r="B3" s="18">
        <v>1.1</v>
      </c>
      <c r="C3" s="14"/>
    </row>
    <row r="4" spans="1:3" ht="12.75" customHeight="1">
      <c r="A4" s="15" t="s">
        <v>194</v>
      </c>
      <c r="B4" s="138">
        <v>0.39</v>
      </c>
      <c r="C4" s="14"/>
    </row>
    <row r="5" spans="1:3" ht="12.75" customHeight="1">
      <c r="A5" s="15" t="s">
        <v>58</v>
      </c>
      <c r="B5" s="140">
        <v>0.43</v>
      </c>
      <c r="C5" s="14"/>
    </row>
    <row r="6" spans="1:3" ht="12.75" customHeight="1">
      <c r="A6" s="15" t="s">
        <v>67</v>
      </c>
      <c r="B6" s="138">
        <v>0.52</v>
      </c>
      <c r="C6" s="14"/>
    </row>
    <row r="7" spans="1:3" ht="21.75" customHeight="1">
      <c r="A7" s="19" t="s">
        <v>60</v>
      </c>
      <c r="B7" s="139">
        <v>27.48</v>
      </c>
      <c r="C7" s="14"/>
    </row>
    <row r="8" spans="1:3" ht="12.75" customHeight="1">
      <c r="A8" s="19" t="s">
        <v>61</v>
      </c>
      <c r="B8" s="141">
        <v>74</v>
      </c>
      <c r="C8" s="14"/>
    </row>
    <row r="9" spans="1:3" ht="12.75" customHeight="1">
      <c r="A9" s="19" t="s">
        <v>62</v>
      </c>
      <c r="B9" s="142">
        <v>0.23</v>
      </c>
      <c r="C9" s="14"/>
    </row>
    <row r="10" spans="1:3" ht="12.75" customHeight="1">
      <c r="A10" s="19" t="s">
        <v>63</v>
      </c>
      <c r="B10" s="142">
        <v>0.2</v>
      </c>
      <c r="C10" s="14"/>
    </row>
    <row r="11" spans="1:3" ht="21.75" customHeight="1">
      <c r="A11" s="14" t="s">
        <v>55</v>
      </c>
      <c r="B11" s="143">
        <v>3.03</v>
      </c>
      <c r="C11" s="14"/>
    </row>
    <row r="12" spans="1:3" ht="12.75" customHeight="1">
      <c r="A12" s="14" t="s">
        <v>56</v>
      </c>
      <c r="B12" s="20">
        <v>0.6</v>
      </c>
      <c r="C12" s="14"/>
    </row>
    <row r="13" spans="1:3" ht="12">
      <c r="A13" s="14" t="s">
        <v>71</v>
      </c>
      <c r="B13" s="136">
        <v>0.065</v>
      </c>
      <c r="C13" s="14"/>
    </row>
    <row r="14" spans="1:3" ht="12.75" customHeight="1">
      <c r="A14" s="27" t="s">
        <v>68</v>
      </c>
      <c r="B14" s="28"/>
      <c r="C14" s="28"/>
    </row>
    <row r="15" spans="1:3" ht="12.75" customHeight="1">
      <c r="A15" s="27" t="s">
        <v>69</v>
      </c>
      <c r="B15" s="28"/>
      <c r="C15" s="28"/>
    </row>
    <row r="16" spans="1:3" ht="12.75" customHeight="1">
      <c r="A16" s="17"/>
      <c r="B16" s="14"/>
      <c r="C16" s="14"/>
    </row>
    <row r="17" spans="1:3" ht="15">
      <c r="A17" s="17" t="s">
        <v>65</v>
      </c>
      <c r="B17" s="14"/>
      <c r="C17" s="14"/>
    </row>
    <row r="18" spans="1:3" ht="12.75" customHeight="1">
      <c r="A18" s="15" t="s">
        <v>47</v>
      </c>
      <c r="B18" s="138">
        <v>64.92</v>
      </c>
      <c r="C18" s="137"/>
    </row>
    <row r="19" spans="1:3" ht="12.75" customHeight="1">
      <c r="A19" s="15" t="s">
        <v>48</v>
      </c>
      <c r="B19" s="139">
        <v>30.15</v>
      </c>
      <c r="C19" s="14"/>
    </row>
    <row r="20" spans="1:3" ht="12.75" customHeight="1">
      <c r="A20" s="15" t="s">
        <v>49</v>
      </c>
      <c r="B20" s="139">
        <v>6.5</v>
      </c>
      <c r="C20" s="14"/>
    </row>
    <row r="21" spans="1:3" ht="12.75" customHeight="1">
      <c r="A21" s="15" t="s">
        <v>50</v>
      </c>
      <c r="B21" s="139">
        <v>34</v>
      </c>
      <c r="C21" s="14"/>
    </row>
    <row r="22" spans="1:3" ht="12.75" customHeight="1">
      <c r="A22" s="15" t="s">
        <v>51</v>
      </c>
      <c r="B22" s="139">
        <v>0</v>
      </c>
      <c r="C22" s="14"/>
    </row>
    <row r="23" spans="1:3" ht="12.75" customHeight="1">
      <c r="A23" s="15" t="s">
        <v>52</v>
      </c>
      <c r="B23" s="139">
        <v>0</v>
      </c>
      <c r="C23" s="14"/>
    </row>
    <row r="24" spans="1:3" ht="12.75" customHeight="1">
      <c r="A24" s="19" t="s">
        <v>59</v>
      </c>
      <c r="B24" s="139">
        <v>70.72</v>
      </c>
      <c r="C24" s="14"/>
    </row>
    <row r="25" spans="1:3" ht="12.75" customHeight="1">
      <c r="A25" s="15" t="s">
        <v>53</v>
      </c>
      <c r="B25" s="19">
        <v>7.5</v>
      </c>
      <c r="C25" s="14"/>
    </row>
    <row r="26" spans="1:3" ht="12.75" customHeight="1">
      <c r="A26" s="15" t="s">
        <v>54</v>
      </c>
      <c r="B26" s="19">
        <v>7.5</v>
      </c>
      <c r="C26" s="19"/>
    </row>
    <row r="27" spans="1:3" ht="12.75" customHeight="1">
      <c r="A27" s="14" t="s">
        <v>71</v>
      </c>
      <c r="B27" s="136">
        <f>IntR</f>
        <v>0.065</v>
      </c>
      <c r="C27" s="14"/>
    </row>
    <row r="28" spans="1:3" ht="12.75" customHeight="1">
      <c r="A28" s="14" t="s">
        <v>70</v>
      </c>
      <c r="B28" s="19">
        <f>SUM(B18:B26)*IntR*0.5</f>
        <v>7.191925</v>
      </c>
      <c r="C28" s="14"/>
    </row>
    <row r="29" spans="1:3" ht="12.75" customHeight="1">
      <c r="A29" s="16" t="s">
        <v>66</v>
      </c>
      <c r="B29" s="22">
        <f>ROUND((SUM(B18:B26,B28)),2)</f>
        <v>228.48</v>
      </c>
      <c r="C29" s="28"/>
    </row>
    <row r="30" spans="1:3" ht="12">
      <c r="A30" s="32"/>
      <c r="B30" s="32"/>
      <c r="C30" s="32"/>
    </row>
    <row r="31" spans="1:3" ht="20.25">
      <c r="A31" s="116" t="s">
        <v>140</v>
      </c>
      <c r="B31" s="117"/>
      <c r="C31" s="117"/>
    </row>
    <row r="32" spans="1:3" ht="20.25">
      <c r="A32" s="116" t="s">
        <v>139</v>
      </c>
      <c r="B32" s="117"/>
      <c r="C32" s="117"/>
    </row>
    <row r="33" spans="1:3" ht="12">
      <c r="A33" s="32"/>
      <c r="B33" s="32"/>
      <c r="C33" s="3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headerFooter alignWithMargins="0">
    <oddFooter>&amp;L&amp;F    &amp;A   F.R. Lamm and D.M. O'Brien&amp;R&amp;D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K28" sqref="K28"/>
    </sheetView>
  </sheetViews>
  <sheetFormatPr defaultColWidth="9.140625" defaultRowHeight="12.75"/>
  <cols>
    <col min="11" max="11" width="11.8515625" style="0" customWidth="1"/>
  </cols>
  <sheetData>
    <row r="1" spans="1:11" ht="12.75">
      <c r="A1" s="9" t="s">
        <v>141</v>
      </c>
      <c r="B1" s="9"/>
      <c r="C1" s="9"/>
      <c r="D1" s="9"/>
      <c r="E1" s="9"/>
      <c r="F1" s="9"/>
      <c r="G1" s="9"/>
      <c r="H1" s="9"/>
      <c r="I1" s="9"/>
      <c r="J1" s="1"/>
      <c r="K1" s="1"/>
    </row>
    <row r="2" spans="1:11" ht="12.75">
      <c r="A2" s="9" t="s">
        <v>142</v>
      </c>
      <c r="B2" s="9"/>
      <c r="C2" s="9"/>
      <c r="D2" s="9"/>
      <c r="E2" s="9"/>
      <c r="F2" s="9"/>
      <c r="G2" s="9"/>
      <c r="H2" s="9"/>
      <c r="I2" s="9"/>
      <c r="J2" s="1"/>
      <c r="K2" s="1"/>
    </row>
    <row r="3" spans="1:11" ht="12.75">
      <c r="A3" s="9" t="s">
        <v>143</v>
      </c>
      <c r="B3" s="9"/>
      <c r="C3" s="9"/>
      <c r="D3" s="9"/>
      <c r="E3" s="9"/>
      <c r="F3" s="9"/>
      <c r="G3" s="9"/>
      <c r="H3" s="9"/>
      <c r="I3" s="9"/>
      <c r="J3" s="1"/>
      <c r="K3" s="1"/>
    </row>
    <row r="4" spans="1:11" ht="12.75">
      <c r="A4" s="9" t="s">
        <v>171</v>
      </c>
      <c r="B4" s="9"/>
      <c r="C4" s="9"/>
      <c r="D4" s="9"/>
      <c r="E4" s="9"/>
      <c r="F4" s="9"/>
      <c r="G4" s="9"/>
      <c r="H4" s="9"/>
      <c r="I4" s="9"/>
      <c r="J4" s="1"/>
      <c r="K4" s="1"/>
    </row>
    <row r="5" spans="1:11" ht="12.75">
      <c r="A5" s="118" t="s">
        <v>144</v>
      </c>
      <c r="B5" s="6"/>
      <c r="C5" s="6"/>
      <c r="D5" s="6"/>
      <c r="E5" s="6"/>
      <c r="F5" s="6"/>
      <c r="G5" s="6"/>
      <c r="H5" s="6"/>
      <c r="I5" s="6"/>
      <c r="J5" s="1"/>
      <c r="K5" s="1"/>
    </row>
    <row r="6" spans="1:11" ht="12.75">
      <c r="A6" s="118"/>
      <c r="B6" s="118" t="s">
        <v>145</v>
      </c>
      <c r="C6" s="118"/>
      <c r="D6" s="118"/>
      <c r="E6" s="118"/>
      <c r="F6" s="118"/>
      <c r="G6" s="118"/>
      <c r="H6" s="118"/>
      <c r="I6" s="118"/>
      <c r="J6" s="1"/>
      <c r="K6" s="1"/>
    </row>
    <row r="7" spans="1:11" ht="12.75">
      <c r="A7" s="118"/>
      <c r="B7" s="118" t="s">
        <v>154</v>
      </c>
      <c r="C7" s="118"/>
      <c r="D7" s="118"/>
      <c r="E7" s="118"/>
      <c r="F7" s="118"/>
      <c r="G7" s="118"/>
      <c r="H7" s="118"/>
      <c r="I7" s="118"/>
      <c r="J7" s="1"/>
      <c r="K7" s="1"/>
    </row>
    <row r="8" spans="1:11" ht="12.75">
      <c r="A8" s="118"/>
      <c r="B8" s="118" t="s">
        <v>146</v>
      </c>
      <c r="C8" s="118"/>
      <c r="D8" s="118"/>
      <c r="E8" s="118"/>
      <c r="F8" s="118"/>
      <c r="G8" s="118"/>
      <c r="H8" s="118"/>
      <c r="I8" s="118"/>
      <c r="J8" s="1"/>
      <c r="K8" s="1"/>
    </row>
    <row r="9" spans="1:11" ht="12.75">
      <c r="A9" s="118"/>
      <c r="B9" s="118" t="s">
        <v>147</v>
      </c>
      <c r="C9" s="118"/>
      <c r="D9" s="118"/>
      <c r="E9" s="118"/>
      <c r="F9" s="118"/>
      <c r="G9" s="118"/>
      <c r="H9" s="118"/>
      <c r="I9" s="118"/>
      <c r="J9" s="1"/>
      <c r="K9" s="1"/>
    </row>
    <row r="10" spans="1:11" ht="24" customHeight="1">
      <c r="A10" s="9" t="s">
        <v>148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1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18" t="s">
        <v>149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"/>
    </row>
    <row r="13" spans="1:11" ht="12.75">
      <c r="A13" s="118"/>
      <c r="B13" s="118" t="s">
        <v>150</v>
      </c>
      <c r="C13" s="118"/>
      <c r="D13" s="118"/>
      <c r="E13" s="118"/>
      <c r="F13" s="118"/>
      <c r="G13" s="118"/>
      <c r="H13" s="118"/>
      <c r="I13" s="118"/>
      <c r="J13" s="118"/>
      <c r="K13" s="1"/>
    </row>
    <row r="14" spans="1:11" ht="12.75">
      <c r="A14" s="118"/>
      <c r="B14" s="118" t="s">
        <v>151</v>
      </c>
      <c r="C14" s="118"/>
      <c r="D14" s="118"/>
      <c r="E14" s="118"/>
      <c r="F14" s="118"/>
      <c r="G14" s="118"/>
      <c r="H14" s="118"/>
      <c r="I14" s="118"/>
      <c r="J14" s="118"/>
      <c r="K14" s="1"/>
    </row>
    <row r="15" spans="1:11" ht="12.75">
      <c r="A15" s="118"/>
      <c r="B15" s="118" t="s">
        <v>152</v>
      </c>
      <c r="C15" s="118"/>
      <c r="D15" s="118"/>
      <c r="E15" s="118"/>
      <c r="F15" s="118"/>
      <c r="G15" s="118"/>
      <c r="H15" s="118"/>
      <c r="I15" s="118"/>
      <c r="J15" s="118"/>
      <c r="K15" s="1"/>
    </row>
    <row r="16" spans="1:11" ht="24" customHeight="1">
      <c r="A16" s="9" t="s">
        <v>155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18" t="s">
        <v>149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18" t="s">
        <v>156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18" t="s">
        <v>157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18" t="s">
        <v>161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18" t="s">
        <v>166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18" t="s">
        <v>163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18" t="s">
        <v>162</v>
      </c>
      <c r="C23" s="118"/>
      <c r="D23" s="118"/>
      <c r="E23" s="1"/>
      <c r="F23" s="1"/>
      <c r="G23" s="1"/>
      <c r="H23" s="1"/>
      <c r="I23" s="1"/>
      <c r="J23" s="1"/>
      <c r="K23" s="1"/>
    </row>
    <row r="24" spans="1:11" ht="12.75">
      <c r="A24" s="1"/>
      <c r="B24" s="118" t="s">
        <v>165</v>
      </c>
      <c r="C24" s="118"/>
      <c r="D24" s="118"/>
      <c r="E24" s="1"/>
      <c r="F24" s="1"/>
      <c r="G24" s="1"/>
      <c r="H24" s="1"/>
      <c r="I24" s="1"/>
      <c r="J24" s="1"/>
      <c r="K24" s="1"/>
    </row>
    <row r="25" spans="1:11" ht="12.75">
      <c r="A25" s="1"/>
      <c r="B25" s="118" t="s">
        <v>164</v>
      </c>
      <c r="C25" s="118"/>
      <c r="D25" s="118"/>
      <c r="E25" s="1"/>
      <c r="F25" s="1"/>
      <c r="G25" s="1"/>
      <c r="H25" s="1"/>
      <c r="I25" s="1"/>
      <c r="J25" s="1"/>
      <c r="K25" s="1"/>
    </row>
    <row r="26" spans="1:11" ht="24" customHeight="1">
      <c r="A26" s="133" t="s">
        <v>176</v>
      </c>
      <c r="B26" s="118"/>
      <c r="C26" s="118"/>
      <c r="D26" s="118"/>
      <c r="E26" s="132"/>
      <c r="F26" s="132"/>
      <c r="G26" s="132"/>
      <c r="H26" s="132"/>
      <c r="I26" s="132"/>
      <c r="J26" s="1"/>
      <c r="K26" s="1"/>
    </row>
    <row r="27" spans="1:11" ht="24" customHeight="1">
      <c r="A27" s="9" t="s">
        <v>167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4" customHeight="1">
      <c r="A28" s="9" t="s">
        <v>168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9" t="s">
        <v>169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4" customHeight="1">
      <c r="A30" s="9" t="s">
        <v>183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9" t="s">
        <v>182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4" customHeight="1">
      <c r="A32" s="9" t="s">
        <v>180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9" t="s">
        <v>181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4" customHeight="1">
      <c r="A34" s="9" t="s">
        <v>184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>
      <c r="A35" s="9" t="s">
        <v>185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>
      <c r="A36" s="9" t="s">
        <v>186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4" customHeight="1">
      <c r="A37" s="9" t="s">
        <v>187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9" t="s">
        <v>188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9" t="s">
        <v>189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9" t="s">
        <v>190</v>
      </c>
      <c r="B40" s="1"/>
      <c r="C40" s="1"/>
      <c r="D40" s="135" t="str">
        <f>Main!C5</f>
        <v>              K-State Research and Extension, Vs. 14.0, by F.R. Lamm and D.M O'Brien, 02-11-14</v>
      </c>
      <c r="E40" s="1"/>
      <c r="F40" s="1"/>
      <c r="G40" s="1"/>
      <c r="H40" s="1"/>
      <c r="I40" s="1"/>
      <c r="J40" s="1"/>
      <c r="K40" s="1"/>
    </row>
    <row r="41" spans="1:11" ht="24" customHeight="1">
      <c r="A41" s="134" t="s">
        <v>170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34" t="s">
        <v>179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9" t="s">
        <v>175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30" t="s">
        <v>172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ht="12.75">
      <c r="A45" s="131" t="s">
        <v>173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1:11" ht="12.75">
      <c r="A46" s="131" t="s">
        <v>174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 sheet="1" objects="1" scenarios="1"/>
  <printOptions gridLines="1"/>
  <pageMargins left="0.75" right="0.75" top="0.7" bottom="0.85" header="0.5" footer="0.5"/>
  <pageSetup horizontalDpi="600" verticalDpi="600" orientation="landscape" r:id="rId1"/>
  <headerFooter alignWithMargins="0">
    <oddFooter>&amp;L&amp;F    &amp;A  F.R. Lamm and D.M. O'Brien&amp;R&amp;D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flamm</cp:lastModifiedBy>
  <cp:lastPrinted>2014-02-11T16:39:02Z</cp:lastPrinted>
  <dcterms:created xsi:type="dcterms:W3CDTF">2003-01-14T15:10:29Z</dcterms:created>
  <dcterms:modified xsi:type="dcterms:W3CDTF">2014-02-11T16:48:08Z</dcterms:modified>
  <cp:category/>
  <cp:version/>
  <cp:contentType/>
  <cp:contentStatus/>
</cp:coreProperties>
</file>