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10215" activeTab="0"/>
  </bookViews>
  <sheets>
    <sheet name="Main" sheetId="1" r:id="rId1"/>
    <sheet name="CF" sheetId="2" r:id="rId2"/>
    <sheet name="Field size &amp; SDI life" sheetId="3" r:id="rId3"/>
    <sheet name="SDI cost &amp; life" sheetId="4" r:id="rId4"/>
    <sheet name="Yld &amp; Price" sheetId="5" r:id="rId5"/>
  </sheets>
  <definedNames>
    <definedName name="Corn">'Main'!$B$18</definedName>
    <definedName name="CornP">'Yld &amp; Price'!$B$5:$H$5</definedName>
    <definedName name="CP">'Main'!$D$9</definedName>
    <definedName name="CP_Dry">'Field size &amp; SDI life'!$B$7</definedName>
    <definedName name="CPA">'Main'!$D$5</definedName>
    <definedName name="CPAS">'Field size &amp; SDI life'!$B$5:$G$5</definedName>
    <definedName name="CPDryS">'Field size &amp; SDI life'!$B$7:$G$7</definedName>
    <definedName name="CPS">'Field size &amp; SDI life'!$B$6:$G$6</definedName>
    <definedName name="CPTC">'Main'!$D$8</definedName>
    <definedName name="CPVC">'Main'!$D$14</definedName>
    <definedName name="CPY">'Main'!$D$17</definedName>
    <definedName name="CYld">'Yld &amp; Price'!$A$6:$A$17</definedName>
    <definedName name="DryCPA">'Main'!$D$7</definedName>
    <definedName name="DryNR">'Main'!$B$19</definedName>
    <definedName name="DrySDIA">'Main'!$F$7</definedName>
    <definedName name="Farea">'Main'!$B$5</definedName>
    <definedName name="Fareas">'Field size &amp; SDI life'!$B$4:$G$4</definedName>
    <definedName name="InsCP">'Main'!$D$12</definedName>
    <definedName name="InsSDI">'Main'!$F$12</definedName>
    <definedName name="Intr">'Main'!$B$11</definedName>
    <definedName name="IntrVC">'CF'!$B$27</definedName>
    <definedName name="LCP">'Main'!$D$10</definedName>
    <definedName name="LSDI">'Main'!$F$10</definedName>
    <definedName name="NCA">'Main'!$B$6</definedName>
    <definedName name="SDI">'Main'!$F$9</definedName>
    <definedName name="SDI_Size">'Field size &amp; SDI life'!$B$8:$G$8</definedName>
    <definedName name="SDIA">'Main'!$F$5</definedName>
    <definedName name="SDIAS">'Field size &amp; SDI life'!$B$8:$G$8</definedName>
    <definedName name="SDICS">'SDI cost &amp; life'!$A$6:$A$12</definedName>
    <definedName name="SDICSS">'Field size &amp; SDI life'!$B$9:$G$9</definedName>
    <definedName name="SDILS">'SDI cost &amp; life'!$B$5:$G$5</definedName>
    <definedName name="SDILSS">'Field size &amp; SDI life'!$A$12:$A$16</definedName>
    <definedName name="SDITC">'Main'!$F$8</definedName>
    <definedName name="SDIVC">'Main'!$F$14</definedName>
    <definedName name="SDIVCDif">'Main'!$F$15</definedName>
    <definedName name="SDIY">'Main'!$F$17</definedName>
  </definedNames>
  <calcPr fullCalcOnLoad="1"/>
</workbook>
</file>

<file path=xl/sharedStrings.xml><?xml version="1.0" encoding="utf-8"?>
<sst xmlns="http://schemas.openxmlformats.org/spreadsheetml/2006/main" count="175" uniqueCount="91">
  <si>
    <t>center pivot sprinkler irrigation (CP) or subsurface drip irrigation (SDI) for corn production.</t>
  </si>
  <si>
    <t>Field description and irrigation system estimates</t>
  </si>
  <si>
    <t>Total</t>
  </si>
  <si>
    <t>SDI</t>
  </si>
  <si>
    <t>CP</t>
  </si>
  <si>
    <t>Production cost estimates</t>
  </si>
  <si>
    <t xml:space="preserve">Irrigation system investment cost, total $ </t>
  </si>
  <si>
    <t xml:space="preserve">Irrigation system life, years </t>
  </si>
  <si>
    <t>Field area, acres</t>
  </si>
  <si>
    <t>Yield and revenue stream estimates</t>
  </si>
  <si>
    <t xml:space="preserve">Corn grain yield, bushels/acre </t>
  </si>
  <si>
    <t>Suggested</t>
  </si>
  <si>
    <t xml:space="preserve">Irrigation system investment cost, $/irrigated acre </t>
  </si>
  <si>
    <t>This template determines the economics of converting existing furrow-irrigated fields to</t>
  </si>
  <si>
    <t>Net return to cropped dryland area of field ($/acre)</t>
  </si>
  <si>
    <t>Factors for Variable Costs</t>
  </si>
  <si>
    <t>Total Variable Costs</t>
  </si>
  <si>
    <t>Herbicide, $/acre</t>
  </si>
  <si>
    <t>Seed, $/acre</t>
  </si>
  <si>
    <t>Crop consulting, $/acre</t>
  </si>
  <si>
    <t xml:space="preserve">Crop insurance, $/acre </t>
  </si>
  <si>
    <t>Drying cost, $/acre</t>
  </si>
  <si>
    <t>Miscellaneous costs, $/acre</t>
  </si>
  <si>
    <t>Custom hire/machinery expenses, $/acre</t>
  </si>
  <si>
    <t>Irrigation labor, $/acre</t>
  </si>
  <si>
    <t>Irrigation amounts, inches</t>
  </si>
  <si>
    <t>$/lb</t>
  </si>
  <si>
    <t>Nitrogen fertilizer, $/acre</t>
  </si>
  <si>
    <t>Phosphorus fertilizer, $/acre</t>
  </si>
  <si>
    <t>$/1000 S</t>
  </si>
  <si>
    <t xml:space="preserve">Additional SDI variable costs (+) or savings (-), $/acre </t>
  </si>
  <si>
    <t xml:space="preserve">Corn selling price, $/bushel </t>
  </si>
  <si>
    <t>Other non-fieldwork labor, $/acre</t>
  </si>
  <si>
    <t>Annual insurance rate, % of total system cost</t>
  </si>
  <si>
    <t>Seeding rate, seeds/acre</t>
  </si>
  <si>
    <t>Nitrogen fertilizer, lb/acre</t>
  </si>
  <si>
    <t>Phosphorus fertilizer, lb/acre</t>
  </si>
  <si>
    <t>Interest rate for system investment, %</t>
  </si>
  <si>
    <t xml:space="preserve">   Assumes equal operating pressures at pump site.</t>
  </si>
  <si>
    <t xml:space="preserve">   Assumed covered by custom hire.</t>
  </si>
  <si>
    <t xml:space="preserve">   Assumes approximately 25% savings with SDI.</t>
  </si>
  <si>
    <t>Fuel and oil for pumping, $/inch</t>
  </si>
  <si>
    <t>Fuel and oil for pumping, $acre</t>
  </si>
  <si>
    <t xml:space="preserve">This tab determines the CP and SDI economic sensitivity to corn yield </t>
  </si>
  <si>
    <t>and corn price assuming that corn yields are equal for both irrigation systems.</t>
  </si>
  <si>
    <t>Corn Yield</t>
  </si>
  <si>
    <t xml:space="preserve">                                   Corn cash price, $/bu</t>
  </si>
  <si>
    <t>Field, acres</t>
  </si>
  <si>
    <t>Total variable costs, $/acre</t>
  </si>
  <si>
    <t>Key Assumptions in Table above and Graph are listed below.</t>
  </si>
  <si>
    <t>You can create a new sensitivity table and graph with different assumptions by changing key</t>
  </si>
  <si>
    <t>assumptions on the Main worksheet (tab). The changes will be reflected below.</t>
  </si>
  <si>
    <t xml:space="preserve">This tab determines the CP and SDI economic sensitivity to SDI system life </t>
  </si>
  <si>
    <t>and SDI system cost.</t>
  </si>
  <si>
    <t>SDI Cost</t>
  </si>
  <si>
    <t>SDI system life, years</t>
  </si>
  <si>
    <t>$/acre</t>
  </si>
  <si>
    <t>See Table</t>
  </si>
  <si>
    <t xml:space="preserve">                                 </t>
  </si>
  <si>
    <t>and SDI system life.</t>
  </si>
  <si>
    <t>This tab determines the CP and SDI economic sensitivity to field size, shape,</t>
  </si>
  <si>
    <t>SDI life</t>
  </si>
  <si>
    <t>years</t>
  </si>
  <si>
    <t>Wiper</t>
  </si>
  <si>
    <t>CP Size</t>
  </si>
  <si>
    <t>CP Cost</t>
  </si>
  <si>
    <t>SDI Size</t>
  </si>
  <si>
    <t>SDI (155 acres) costs exist on Main worksheet (tab) !!!!!!!!</t>
  </si>
  <si>
    <t>CP Dry</t>
  </si>
  <si>
    <t xml:space="preserve">Note: This sensitivity valid only if full-sized CP (125 acres) and </t>
  </si>
  <si>
    <t>Field size</t>
  </si>
  <si>
    <t>1/2 circle</t>
  </si>
  <si>
    <t>See table</t>
  </si>
  <si>
    <t xml:space="preserve">You may examine sensitivity to Main worksheet (tab) assumptions on three of the tabs listed below. </t>
  </si>
  <si>
    <t xml:space="preserve">       $/acres each year</t>
  </si>
  <si>
    <t>* Advantage in net returns to land and management</t>
  </si>
  <si>
    <t>The elements in the table (blue) represent the CP advantage in net returns per acre.</t>
  </si>
  <si>
    <t>Insecticide/Fungicide, $/acre</t>
  </si>
  <si>
    <r>
      <t>1/2 yr. interest on variable costs,</t>
    </r>
    <r>
      <rPr>
        <sz val="8"/>
        <rFont val="Calibri"/>
        <family val="2"/>
      </rPr>
      <t xml:space="preserve"> </t>
    </r>
    <r>
      <rPr>
        <sz val="10"/>
        <rFont val="Calibri"/>
        <family val="2"/>
      </rPr>
      <t xml:space="preserve">rate </t>
    </r>
  </si>
  <si>
    <r>
      <t xml:space="preserve">   These values are </t>
    </r>
    <r>
      <rPr>
        <b/>
        <i/>
        <sz val="8"/>
        <color indexed="10"/>
        <rFont val="Calibri"/>
        <family val="2"/>
      </rPr>
      <t>suggested</t>
    </r>
    <r>
      <rPr>
        <sz val="8"/>
        <color indexed="10"/>
        <rFont val="Calibri"/>
        <family val="2"/>
      </rPr>
      <t xml:space="preserve"> values on Main tab.</t>
    </r>
  </si>
  <si>
    <r>
      <t xml:space="preserve">Non-cropped field area </t>
    </r>
    <r>
      <rPr>
        <sz val="8"/>
        <rFont val="Calibri"/>
        <family val="2"/>
      </rPr>
      <t>(roads and access areas),</t>
    </r>
    <r>
      <rPr>
        <sz val="10"/>
        <rFont val="Calibri"/>
        <family val="2"/>
      </rPr>
      <t xml:space="preserve"> acres</t>
    </r>
  </si>
  <si>
    <r>
      <t xml:space="preserve">Cropped dryland area, acres </t>
    </r>
    <r>
      <rPr>
        <sz val="8"/>
        <rFont val="Calibri"/>
        <family val="2"/>
      </rPr>
      <t>(= Field area - Non-cropped field area - Irrigated area)</t>
    </r>
  </si>
  <si>
    <r>
      <t xml:space="preserve">Total variable costs, $/acre </t>
    </r>
    <r>
      <rPr>
        <b/>
        <sz val="8"/>
        <color indexed="53"/>
        <rFont val="Calibri"/>
        <family val="2"/>
      </rPr>
      <t>(See CF Tab for details on suggested values)</t>
    </r>
  </si>
  <si>
    <r>
      <t xml:space="preserve"> </t>
    </r>
    <r>
      <rPr>
        <b/>
        <sz val="11"/>
        <rFont val="Calibri"/>
        <family val="2"/>
      </rPr>
      <t>$/total field each year</t>
    </r>
  </si>
  <si>
    <r>
      <t xml:space="preserve">Cropped dryland area, acres </t>
    </r>
    <r>
      <rPr>
        <sz val="8"/>
        <rFont val="Calibri"/>
        <family val="2"/>
      </rPr>
      <t>(= Field area - Non-cropped field - Irrigated area)</t>
    </r>
  </si>
  <si>
    <t>Irrigation maintenance &amp; repairs, $/inch</t>
  </si>
  <si>
    <t>Irrigation maintenance &amp; repairs, $/acre</t>
  </si>
  <si>
    <t>Version 20.0, modified by F.R. Lamm, D. M. O'Brien, D. H. Rogers, 01-31-20</t>
  </si>
  <si>
    <t>Adjusted to provide 240 lbs N/a on 1.00 lbs N/acre for 1 bushel based on Urea (46-0-0) costs</t>
  </si>
  <si>
    <t>Some N in P fertilizer based on DAP (18-46-0) and about 85 lbs P/a net</t>
  </si>
  <si>
    <t xml:space="preserve">   Assumes all tillage, cultural and harvesting ops.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</si>
</sst>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0.00"/>
    <numFmt numFmtId="168" formatCode="\$#,##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i/>
      <sz val="8"/>
      <color indexed="10"/>
      <name val="Calibri"/>
      <family val="2"/>
    </font>
    <font>
      <b/>
      <sz val="8"/>
      <color indexed="53"/>
      <name val="Calibri"/>
      <family val="2"/>
    </font>
    <font>
      <b/>
      <sz val="11"/>
      <name val="Calibri"/>
      <family val="2"/>
    </font>
    <font>
      <sz val="14.5"/>
      <color indexed="8"/>
      <name val="Arial"/>
      <family val="2"/>
    </font>
    <font>
      <sz val="10.1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color indexed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b/>
      <i/>
      <sz val="14"/>
      <name val="Calibri"/>
      <family val="2"/>
    </font>
    <font>
      <b/>
      <i/>
      <sz val="16"/>
      <name val="Calibri"/>
      <family val="2"/>
    </font>
    <font>
      <b/>
      <sz val="10"/>
      <color indexed="10"/>
      <name val="Calibri"/>
      <family val="2"/>
    </font>
    <font>
      <sz val="11"/>
      <color indexed="41"/>
      <name val="Calibri"/>
      <family val="2"/>
    </font>
    <font>
      <sz val="10"/>
      <color indexed="4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10"/>
      <color indexed="60"/>
      <name val="Calibri"/>
      <family val="2"/>
    </font>
    <font>
      <b/>
      <sz val="8"/>
      <color indexed="6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7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9"/>
      <color indexed="10"/>
      <name val="Calibri"/>
      <family val="2"/>
    </font>
    <font>
      <sz val="9"/>
      <color indexed="10"/>
      <name val="Calibri"/>
      <family val="2"/>
    </font>
    <font>
      <b/>
      <sz val="14.5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32" fillId="33" borderId="0" xfId="0" applyFont="1" applyFill="1" applyAlignment="1" applyProtection="1">
      <alignment horizontal="center"/>
      <protection/>
    </xf>
    <xf numFmtId="0" fontId="33" fillId="33" borderId="0" xfId="0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8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 locked="0"/>
    </xf>
    <xf numFmtId="0" fontId="5" fillId="33" borderId="0" xfId="0" applyNumberFormat="1" applyFont="1" applyFill="1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/>
    </xf>
    <xf numFmtId="165" fontId="4" fillId="33" borderId="0" xfId="44" applyNumberFormat="1" applyFont="1" applyFill="1" applyAlignment="1" applyProtection="1">
      <alignment horizontal="right"/>
      <protection/>
    </xf>
    <xf numFmtId="165" fontId="4" fillId="35" borderId="10" xfId="44" applyNumberFormat="1" applyFont="1" applyFill="1" applyBorder="1" applyAlignment="1" applyProtection="1">
      <alignment horizontal="right"/>
      <protection locked="0"/>
    </xf>
    <xf numFmtId="167" fontId="5" fillId="34" borderId="0" xfId="0" applyNumberFormat="1" applyFont="1" applyFill="1" applyAlignment="1" applyProtection="1">
      <alignment horizontal="right"/>
      <protection/>
    </xf>
    <xf numFmtId="165" fontId="4" fillId="0" borderId="10" xfId="44" applyNumberFormat="1" applyFont="1" applyFill="1" applyBorder="1" applyAlignment="1" applyProtection="1">
      <alignment horizontal="right"/>
      <protection locked="0"/>
    </xf>
    <xf numFmtId="0" fontId="5" fillId="36" borderId="10" xfId="0" applyFont="1" applyFill="1" applyBorder="1" applyAlignment="1" applyProtection="1">
      <alignment horizontal="center"/>
      <protection/>
    </xf>
    <xf numFmtId="0" fontId="34" fillId="33" borderId="0" xfId="0" applyFont="1" applyFill="1" applyAlignment="1" applyProtection="1">
      <alignment/>
      <protection/>
    </xf>
    <xf numFmtId="165" fontId="4" fillId="33" borderId="0" xfId="44" applyNumberFormat="1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167" fontId="5" fillId="33" borderId="0" xfId="0" applyNumberFormat="1" applyFont="1" applyFill="1" applyAlignment="1" applyProtection="1">
      <alignment horizontal="right"/>
      <protection/>
    </xf>
    <xf numFmtId="0" fontId="34" fillId="34" borderId="0" xfId="0" applyFont="1" applyFill="1" applyAlignment="1" applyProtection="1">
      <alignment/>
      <protection/>
    </xf>
    <xf numFmtId="0" fontId="35" fillId="34" borderId="0" xfId="0" applyFont="1" applyFill="1" applyBorder="1" applyAlignment="1" applyProtection="1">
      <alignment horizontal="center"/>
      <protection/>
    </xf>
    <xf numFmtId="0" fontId="35" fillId="34" borderId="0" xfId="0" applyFont="1" applyFill="1" applyAlignment="1" applyProtection="1">
      <alignment horizontal="center"/>
      <protection/>
    </xf>
    <xf numFmtId="0" fontId="36" fillId="33" borderId="0" xfId="0" applyFont="1" applyFill="1" applyAlignment="1" applyProtection="1">
      <alignment/>
      <protection/>
    </xf>
    <xf numFmtId="0" fontId="4" fillId="35" borderId="10" xfId="0" applyFont="1" applyFill="1" applyBorder="1" applyAlignment="1" applyProtection="1">
      <alignment/>
      <protection locked="0"/>
    </xf>
    <xf numFmtId="0" fontId="5" fillId="34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center"/>
      <protection/>
    </xf>
    <xf numFmtId="165" fontId="4" fillId="33" borderId="0" xfId="0" applyNumberFormat="1" applyFont="1" applyFill="1" applyAlignment="1" applyProtection="1">
      <alignment horizontal="right"/>
      <protection/>
    </xf>
    <xf numFmtId="165" fontId="4" fillId="33" borderId="0" xfId="0" applyNumberFormat="1" applyFont="1" applyFill="1" applyAlignment="1" applyProtection="1">
      <alignment/>
      <protection/>
    </xf>
    <xf numFmtId="165" fontId="4" fillId="33" borderId="0" xfId="0" applyNumberFormat="1" applyFont="1" applyFill="1" applyAlignment="1" applyProtection="1">
      <alignment/>
      <protection/>
    </xf>
    <xf numFmtId="166" fontId="4" fillId="35" borderId="10" xfId="59" applyNumberFormat="1" applyFont="1" applyFill="1" applyBorder="1" applyAlignment="1" applyProtection="1">
      <alignment/>
      <protection locked="0"/>
    </xf>
    <xf numFmtId="166" fontId="5" fillId="34" borderId="0" xfId="0" applyNumberFormat="1" applyFont="1" applyFill="1" applyAlignment="1" applyProtection="1">
      <alignment horizontal="right"/>
      <protection/>
    </xf>
    <xf numFmtId="165" fontId="4" fillId="33" borderId="0" xfId="44" applyNumberFormat="1" applyFont="1" applyFill="1" applyAlignment="1" applyProtection="1">
      <alignment/>
      <protection/>
    </xf>
    <xf numFmtId="0" fontId="35" fillId="37" borderId="0" xfId="0" applyFont="1" applyFill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165" fontId="35" fillId="37" borderId="0" xfId="0" applyNumberFormat="1" applyFont="1" applyFill="1" applyAlignment="1" applyProtection="1">
      <alignment horizontal="right"/>
      <protection/>
    </xf>
    <xf numFmtId="0" fontId="6" fillId="37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3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8" borderId="0" xfId="0" applyFont="1" applyFill="1" applyAlignment="1">
      <alignment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5" fillId="33" borderId="0" xfId="0" applyFont="1" applyFill="1" applyAlignment="1">
      <alignment horizontal="center"/>
    </xf>
    <xf numFmtId="0" fontId="38" fillId="33" borderId="0" xfId="0" applyFont="1" applyFill="1" applyAlignment="1">
      <alignment/>
    </xf>
    <xf numFmtId="164" fontId="4" fillId="0" borderId="0" xfId="44" applyNumberFormat="1" applyFont="1" applyFill="1" applyAlignment="1" applyProtection="1">
      <alignment/>
      <protection locked="0"/>
    </xf>
    <xf numFmtId="6" fontId="5" fillId="33" borderId="0" xfId="0" applyNumberFormat="1" applyFont="1" applyFill="1" applyAlignment="1">
      <alignment horizontal="right"/>
    </xf>
    <xf numFmtId="166" fontId="5" fillId="33" borderId="0" xfId="0" applyNumberFormat="1" applyFont="1" applyFill="1" applyAlignment="1">
      <alignment horizontal="center"/>
    </xf>
    <xf numFmtId="0" fontId="4" fillId="33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/>
    </xf>
    <xf numFmtId="10" fontId="4" fillId="0" borderId="0" xfId="59" applyNumberFormat="1" applyFont="1" applyFill="1" applyAlignment="1" applyProtection="1">
      <alignment/>
      <protection locked="0"/>
    </xf>
    <xf numFmtId="10" fontId="5" fillId="33" borderId="0" xfId="59" applyNumberFormat="1" applyFont="1" applyFill="1" applyAlignment="1">
      <alignment horizontal="right"/>
    </xf>
    <xf numFmtId="165" fontId="4" fillId="0" borderId="0" xfId="0" applyNumberFormat="1" applyFont="1" applyAlignment="1" applyProtection="1">
      <alignment/>
      <protection locked="0"/>
    </xf>
    <xf numFmtId="165" fontId="5" fillId="33" borderId="0" xfId="44" applyNumberFormat="1" applyFont="1" applyFill="1" applyAlignment="1">
      <alignment horizontal="right"/>
    </xf>
    <xf numFmtId="0" fontId="38" fillId="33" borderId="0" xfId="0" applyFont="1" applyFill="1" applyAlignment="1">
      <alignment horizontal="right"/>
    </xf>
    <xf numFmtId="6" fontId="5" fillId="33" borderId="0" xfId="44" applyNumberFormat="1" applyFont="1" applyFill="1" applyAlignment="1">
      <alignment horizontal="center"/>
    </xf>
    <xf numFmtId="165" fontId="4" fillId="0" borderId="0" xfId="44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37" fontId="5" fillId="33" borderId="0" xfId="44" applyNumberFormat="1" applyFont="1" applyFill="1" applyAlignment="1">
      <alignment horizontal="center"/>
    </xf>
    <xf numFmtId="165" fontId="39" fillId="13" borderId="0" xfId="44" applyNumberFormat="1" applyFont="1" applyFill="1" applyAlignment="1" quotePrefix="1">
      <alignment/>
    </xf>
    <xf numFmtId="165" fontId="40" fillId="13" borderId="0" xfId="44" applyNumberFormat="1" applyFont="1" applyFill="1" applyAlignment="1" quotePrefix="1">
      <alignment/>
    </xf>
    <xf numFmtId="0" fontId="32" fillId="13" borderId="0" xfId="0" applyFont="1" applyFill="1" applyAlignment="1">
      <alignment/>
    </xf>
    <xf numFmtId="165" fontId="9" fillId="13" borderId="0" xfId="44" applyNumberFormat="1" applyFont="1" applyFill="1" applyAlignment="1" quotePrefix="1">
      <alignment/>
    </xf>
    <xf numFmtId="164" fontId="32" fillId="13" borderId="0" xfId="0" applyNumberFormat="1" applyFont="1" applyFill="1" applyAlignment="1">
      <alignment/>
    </xf>
    <xf numFmtId="0" fontId="35" fillId="13" borderId="0" xfId="0" applyFont="1" applyFill="1" applyAlignment="1">
      <alignment/>
    </xf>
    <xf numFmtId="0" fontId="9" fillId="13" borderId="0" xfId="0" applyFont="1" applyFill="1" applyAlignment="1">
      <alignment/>
    </xf>
    <xf numFmtId="0" fontId="4" fillId="13" borderId="0" xfId="0" applyFont="1" applyFill="1" applyAlignment="1">
      <alignment/>
    </xf>
    <xf numFmtId="0" fontId="41" fillId="39" borderId="0" xfId="0" applyFont="1" applyFill="1" applyAlignment="1">
      <alignment/>
    </xf>
    <xf numFmtId="0" fontId="4" fillId="39" borderId="0" xfId="0" applyFont="1" applyFill="1" applyAlignment="1">
      <alignment/>
    </xf>
    <xf numFmtId="0" fontId="9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0" fontId="48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165" fontId="47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47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3" fontId="35" fillId="33" borderId="0" xfId="44" applyNumberFormat="1" applyFont="1" applyFill="1" applyAlignment="1">
      <alignment/>
    </xf>
    <xf numFmtId="3" fontId="49" fillId="33" borderId="0" xfId="44" applyNumberFormat="1" applyFont="1" applyFill="1" applyAlignment="1">
      <alignment/>
    </xf>
    <xf numFmtId="0" fontId="50" fillId="33" borderId="0" xfId="0" applyFont="1" applyFill="1" applyAlignment="1">
      <alignment/>
    </xf>
    <xf numFmtId="165" fontId="9" fillId="36" borderId="0" xfId="44" applyNumberFormat="1" applyFont="1" applyFill="1" applyAlignment="1">
      <alignment/>
    </xf>
    <xf numFmtId="165" fontId="9" fillId="33" borderId="0" xfId="44" applyNumberFormat="1" applyFont="1" applyFill="1" applyAlignment="1">
      <alignment/>
    </xf>
    <xf numFmtId="165" fontId="9" fillId="37" borderId="0" xfId="44" applyNumberFormat="1" applyFont="1" applyFill="1" applyAlignment="1">
      <alignment/>
    </xf>
    <xf numFmtId="165" fontId="35" fillId="33" borderId="0" xfId="44" applyNumberFormat="1" applyFont="1" applyFill="1" applyAlignment="1">
      <alignment/>
    </xf>
    <xf numFmtId="0" fontId="51" fillId="33" borderId="0" xfId="0" applyFont="1" applyFill="1" applyAlignment="1">
      <alignment/>
    </xf>
    <xf numFmtId="0" fontId="39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35" fillId="33" borderId="0" xfId="0" applyFont="1" applyFill="1" applyAlignment="1" applyProtection="1">
      <alignment/>
      <protection/>
    </xf>
    <xf numFmtId="0" fontId="35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right"/>
      <protection/>
    </xf>
    <xf numFmtId="0" fontId="36" fillId="33" borderId="0" xfId="0" applyFont="1" applyFill="1" applyAlignment="1">
      <alignment horizontal="right"/>
    </xf>
    <xf numFmtId="0" fontId="38" fillId="33" borderId="0" xfId="0" applyFont="1" applyFill="1" applyAlignment="1" applyProtection="1">
      <alignment horizontal="right"/>
      <protection/>
    </xf>
    <xf numFmtId="164" fontId="4" fillId="33" borderId="0" xfId="44" applyNumberFormat="1" applyFont="1" applyFill="1" applyAlignment="1" applyProtection="1">
      <alignment horizontal="right"/>
      <protection/>
    </xf>
    <xf numFmtId="0" fontId="37" fillId="33" borderId="0" xfId="0" applyFont="1" applyFill="1" applyAlignment="1" applyProtection="1">
      <alignment horizontal="center"/>
      <protection/>
    </xf>
    <xf numFmtId="0" fontId="36" fillId="33" borderId="0" xfId="0" applyFont="1" applyFill="1" applyAlignment="1" applyProtection="1">
      <alignment horizontal="right"/>
      <protection/>
    </xf>
    <xf numFmtId="9" fontId="5" fillId="33" borderId="0" xfId="0" applyNumberFormat="1" applyFont="1" applyFill="1" applyAlignment="1" applyProtection="1">
      <alignment horizontal="center"/>
      <protection/>
    </xf>
    <xf numFmtId="9" fontId="4" fillId="33" borderId="0" xfId="59" applyFont="1" applyFill="1" applyAlignment="1" applyProtection="1">
      <alignment horizontal="right"/>
      <protection/>
    </xf>
    <xf numFmtId="10" fontId="4" fillId="33" borderId="0" xfId="59" applyNumberFormat="1" applyFont="1" applyFill="1" applyAlignment="1" applyProtection="1">
      <alignment horizontal="right"/>
      <protection/>
    </xf>
    <xf numFmtId="0" fontId="44" fillId="33" borderId="0" xfId="0" applyFont="1" applyFill="1" applyAlignment="1" applyProtection="1">
      <alignment/>
      <protection/>
    </xf>
    <xf numFmtId="8" fontId="5" fillId="33" borderId="0" xfId="44" applyNumberFormat="1" applyFont="1" applyFill="1" applyAlignment="1" applyProtection="1">
      <alignment horizontal="right"/>
      <protection/>
    </xf>
    <xf numFmtId="0" fontId="52" fillId="34" borderId="0" xfId="0" applyFont="1" applyFill="1" applyAlignment="1">
      <alignment horizontal="left"/>
    </xf>
    <xf numFmtId="8" fontId="5" fillId="34" borderId="0" xfId="44" applyNumberFormat="1" applyFont="1" applyFill="1" applyAlignment="1">
      <alignment horizontal="center"/>
    </xf>
    <xf numFmtId="10" fontId="5" fillId="33" borderId="0" xfId="59" applyNumberFormat="1" applyFont="1" applyFill="1" applyAlignment="1">
      <alignment horizontal="center"/>
    </xf>
    <xf numFmtId="37" fontId="5" fillId="33" borderId="0" xfId="44" applyNumberFormat="1" applyFont="1" applyFill="1" applyAlignment="1">
      <alignment horizontal="right"/>
    </xf>
    <xf numFmtId="165" fontId="5" fillId="33" borderId="0" xfId="44" applyNumberFormat="1" applyFont="1" applyFill="1" applyAlignment="1">
      <alignment horizontal="center"/>
    </xf>
    <xf numFmtId="0" fontId="53" fillId="33" borderId="0" xfId="0" applyFont="1" applyFill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165" fontId="35" fillId="33" borderId="0" xfId="44" applyNumberFormat="1" applyFont="1" applyFill="1" applyAlignment="1">
      <alignment/>
    </xf>
    <xf numFmtId="165" fontId="35" fillId="36" borderId="0" xfId="44" applyNumberFormat="1" applyFont="1" applyFill="1" applyAlignment="1">
      <alignment/>
    </xf>
    <xf numFmtId="0" fontId="55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50" fillId="0" borderId="0" xfId="0" applyFont="1" applyAlignment="1">
      <alignment/>
    </xf>
    <xf numFmtId="166" fontId="4" fillId="0" borderId="0" xfId="59" applyNumberFormat="1" applyFont="1" applyFill="1" applyAlignment="1" applyProtection="1">
      <alignment/>
      <protection locked="0"/>
    </xf>
    <xf numFmtId="165" fontId="4" fillId="0" borderId="0" xfId="0" applyNumberFormat="1" applyFont="1" applyFill="1" applyAlignment="1" applyProtection="1">
      <alignment/>
      <protection locked="0"/>
    </xf>
    <xf numFmtId="165" fontId="32" fillId="13" borderId="0" xfId="0" applyNumberFormat="1" applyFont="1" applyFill="1" applyAlignment="1">
      <alignment/>
    </xf>
    <xf numFmtId="164" fontId="4" fillId="34" borderId="0" xfId="44" applyNumberFormat="1" applyFont="1" applyFill="1" applyAlignment="1">
      <alignment/>
    </xf>
    <xf numFmtId="0" fontId="35" fillId="34" borderId="0" xfId="0" applyFont="1" applyFill="1" applyAlignment="1">
      <alignment/>
    </xf>
    <xf numFmtId="0" fontId="36" fillId="34" borderId="0" xfId="0" applyFont="1" applyFill="1" applyAlignment="1">
      <alignment vertical="top"/>
    </xf>
    <xf numFmtId="164" fontId="4" fillId="0" borderId="0" xfId="44" applyNumberFormat="1" applyFont="1" applyFill="1" applyAlignment="1" applyProtection="1">
      <alignment horizontal="right"/>
      <protection locked="0"/>
    </xf>
    <xf numFmtId="8" fontId="5" fillId="34" borderId="0" xfId="0" applyNumberFormat="1" applyFont="1" applyFill="1" applyAlignment="1" applyProtection="1">
      <alignment horizontal="right"/>
      <protection/>
    </xf>
    <xf numFmtId="165" fontId="4" fillId="0" borderId="10" xfId="44" applyNumberFormat="1" applyFont="1" applyFill="1" applyBorder="1" applyAlignment="1" applyProtection="1">
      <alignment/>
      <protection locked="0"/>
    </xf>
    <xf numFmtId="0" fontId="33" fillId="34" borderId="0" xfId="0" applyFont="1" applyFill="1" applyAlignment="1" applyProtection="1">
      <alignment horizontal="center"/>
      <protection/>
    </xf>
    <xf numFmtId="165" fontId="4" fillId="0" borderId="10" xfId="44" applyNumberFormat="1" applyFont="1" applyFill="1" applyBorder="1" applyAlignment="1" applyProtection="1">
      <alignment/>
      <protection locked="0"/>
    </xf>
    <xf numFmtId="0" fontId="34" fillId="34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34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 vs. SDI Economics, sensitivity to field size, shape and SDI life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0685"/>
          <c:w val="0.9295"/>
          <c:h val="0.8265"/>
        </c:manualLayout>
      </c:layout>
      <c:lineChart>
        <c:grouping val="standard"/>
        <c:varyColors val="0"/>
        <c:ser>
          <c:idx val="2"/>
          <c:order val="0"/>
          <c:tx>
            <c:v>160 a.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life'!$B$12:$B$16</c:f>
              <c:numCache/>
            </c:numRef>
          </c:val>
          <c:smooth val="0"/>
        </c:ser>
        <c:ser>
          <c:idx val="3"/>
          <c:order val="1"/>
          <c:tx>
            <c:v>64 a.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life'!$E$12:$E$16</c:f>
              <c:numCache/>
            </c:numRef>
          </c:val>
          <c:smooth val="0"/>
        </c:ser>
        <c:ser>
          <c:idx val="0"/>
          <c:order val="2"/>
          <c:tx>
            <c:v>32 a.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life'!$F$12:$F$16</c:f>
              <c:numCache/>
            </c:numRef>
          </c:val>
          <c:smooth val="0"/>
        </c:ser>
        <c:ser>
          <c:idx val="1"/>
          <c:order val="3"/>
          <c:tx>
            <c:v>80 (Wiper 1/2 CP)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'Field size &amp; SDI life'!$A$12:$A$16</c:f>
              <c:numCache/>
            </c:numRef>
          </c:cat>
          <c:val>
            <c:numRef>
              <c:f>'Field size &amp; SDI life'!$G$12:$G$16</c:f>
              <c:numCache/>
            </c:numRef>
          </c:val>
          <c:smooth val="0"/>
        </c:ser>
        <c:marker val="1"/>
        <c:axId val="31676515"/>
        <c:axId val="16653180"/>
      </c:lineChart>
      <c:catAx>
        <c:axId val="3167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SDI system life (years)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6653180"/>
        <c:crossesAt val="-40"/>
        <c:auto val="1"/>
        <c:lblOffset val="100"/>
        <c:tickLblSkip val="1"/>
        <c:noMultiLvlLbl val="0"/>
      </c:catAx>
      <c:valAx>
        <c:axId val="16653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 Advantage ($/a)</a:t>
                </a:r>
              </a:p>
            </c:rich>
          </c:tx>
          <c:layout>
            <c:manualLayout>
              <c:xMode val="factor"/>
              <c:yMode val="factor"/>
              <c:x val="-0.023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65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49825"/>
          <c:y val="0.153"/>
          <c:w val="0.3755"/>
          <c:h val="0.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 vs. SDI Economics, sensitivity to SDI system cost and SDI life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0645"/>
          <c:w val="0.9345"/>
          <c:h val="0.827"/>
        </c:manualLayout>
      </c:layout>
      <c:lineChart>
        <c:grouping val="standard"/>
        <c:varyColors val="0"/>
        <c:ser>
          <c:idx val="2"/>
          <c:order val="0"/>
          <c:tx>
            <c:v>5 year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'SDI cost &amp; life'!$A$6:$A$12</c:f>
              <c:numCache/>
            </c:numRef>
          </c:cat>
          <c:val>
            <c:numRef>
              <c:f>'SDI cost &amp; life'!$B$6:$B$12</c:f>
              <c:numCache/>
            </c:numRef>
          </c:val>
          <c:smooth val="0"/>
        </c:ser>
        <c:ser>
          <c:idx val="3"/>
          <c:order val="1"/>
          <c:tx>
            <c:v>10 year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'SDI cost &amp; life'!$A$6:$A$12</c:f>
              <c:numCache/>
            </c:numRef>
          </c:cat>
          <c:val>
            <c:numRef>
              <c:f>'SDI cost &amp; life'!$C$6:$C$12</c:f>
              <c:numCache/>
            </c:numRef>
          </c:val>
          <c:smooth val="0"/>
        </c:ser>
        <c:ser>
          <c:idx val="0"/>
          <c:order val="2"/>
          <c:tx>
            <c:v>15 year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'SDI cost &amp; life'!$A$6:$A$12</c:f>
              <c:numCache/>
            </c:numRef>
          </c:cat>
          <c:val>
            <c:numRef>
              <c:f>'SDI cost &amp; life'!$D$6:$D$12</c:f>
              <c:numCache/>
            </c:numRef>
          </c:val>
          <c:smooth val="0"/>
        </c:ser>
        <c:ser>
          <c:idx val="1"/>
          <c:order val="3"/>
          <c:tx>
            <c:v>20 year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'SDI cost &amp; life'!$E$6:$E$12</c:f>
              <c:numCache/>
            </c:numRef>
          </c:val>
          <c:smooth val="0"/>
        </c:ser>
        <c:marker val="1"/>
        <c:axId val="15660893"/>
        <c:axId val="6730310"/>
      </c:lineChart>
      <c:catAx>
        <c:axId val="15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SDI system cost ($/a)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730310"/>
        <c:crossesAt val="-40"/>
        <c:auto val="1"/>
        <c:lblOffset val="100"/>
        <c:tickLblSkip val="1"/>
        <c:noMultiLvlLbl val="0"/>
      </c:catAx>
      <c:valAx>
        <c:axId val="6730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 Advantage ($/a)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08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14325"/>
          <c:w val="0.424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 vs. SDI Economics, sensitivity to corn yield and price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25"/>
          <c:y val="0.03525"/>
          <c:w val="0.88825"/>
          <c:h val="0.89975"/>
        </c:manualLayout>
      </c:layout>
      <c:lineChart>
        <c:grouping val="standard"/>
        <c:varyColors val="0"/>
        <c:ser>
          <c:idx val="2"/>
          <c:order val="0"/>
          <c:tx>
            <c:strRef>
              <c:f>'Yld &amp; Price'!$C$5</c:f>
              <c:strCache>
                <c:ptCount val="1"/>
                <c:pt idx="0">
                  <c:v>$2.90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'Yld &amp; Price'!$A$6:$A$17</c:f>
              <c:numCache/>
            </c:numRef>
          </c:cat>
          <c:val>
            <c:numRef>
              <c:f>'Yld &amp; Price'!$C$6:$C$17</c:f>
              <c:numCache/>
            </c:numRef>
          </c:val>
          <c:smooth val="0"/>
        </c:ser>
        <c:ser>
          <c:idx val="3"/>
          <c:order val="1"/>
          <c:tx>
            <c:strRef>
              <c:f>'Yld &amp; Price'!$E$5</c:f>
              <c:strCache>
                <c:ptCount val="1"/>
                <c:pt idx="0">
                  <c:v>$3.70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'Yld &amp; Price'!$A$6:$A$17</c:f>
              <c:numCache/>
            </c:numRef>
          </c:cat>
          <c:val>
            <c:numRef>
              <c:f>'Yld &amp; Price'!$E$6:$E$17</c:f>
              <c:numCache/>
            </c:numRef>
          </c:val>
          <c:smooth val="0"/>
        </c:ser>
        <c:ser>
          <c:idx val="0"/>
          <c:order val="2"/>
          <c:tx>
            <c:strRef>
              <c:f>'Yld &amp; Price'!$G$5</c:f>
              <c:strCache>
                <c:ptCount val="1"/>
                <c:pt idx="0">
                  <c:v>$4.50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'Yld &amp; Price'!$G$6:$G$17</c:f>
              <c:numCache/>
            </c:numRef>
          </c:val>
          <c:smooth val="0"/>
        </c:ser>
        <c:marker val="1"/>
        <c:axId val="60572791"/>
        <c:axId val="8284208"/>
      </c:lineChart>
      <c:cat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Corn yield (bu/a)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8284208"/>
        <c:crossesAt val="-40"/>
        <c:auto val="1"/>
        <c:lblOffset val="100"/>
        <c:tickLblSkip val="2"/>
        <c:noMultiLvlLbl val="0"/>
      </c:catAx>
      <c:valAx>
        <c:axId val="828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 Advantage ($/a)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27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33675"/>
          <c:y val="0.08775"/>
          <c:w val="0.630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104775</xdr:rowOff>
    </xdr:from>
    <xdr:to>
      <xdr:col>2</xdr:col>
      <xdr:colOff>238125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3419475" y="876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104775</xdr:rowOff>
    </xdr:from>
    <xdr:to>
      <xdr:col>4</xdr:col>
      <xdr:colOff>209550</xdr:colOff>
      <xdr:row>4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4724400" y="876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104775</xdr:rowOff>
    </xdr:from>
    <xdr:to>
      <xdr:col>6</xdr:col>
      <xdr:colOff>238125</xdr:colOff>
      <xdr:row>4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5895975" y="876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104775</xdr:rowOff>
    </xdr:from>
    <xdr:to>
      <xdr:col>4</xdr:col>
      <xdr:colOff>209550</xdr:colOff>
      <xdr:row>4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4724400" y="876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104775</xdr:rowOff>
    </xdr:from>
    <xdr:to>
      <xdr:col>6</xdr:col>
      <xdr:colOff>238125</xdr:colOff>
      <xdr:row>4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895975" y="876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104775</xdr:rowOff>
    </xdr:from>
    <xdr:to>
      <xdr:col>6</xdr:col>
      <xdr:colOff>238125</xdr:colOff>
      <xdr:row>4</xdr:row>
      <xdr:rowOff>104775</xdr:rowOff>
    </xdr:to>
    <xdr:sp>
      <xdr:nvSpPr>
        <xdr:cNvPr id="6" name="Line 7"/>
        <xdr:cNvSpPr>
          <a:spLocks/>
        </xdr:cNvSpPr>
      </xdr:nvSpPr>
      <xdr:spPr>
        <a:xfrm flipH="1">
          <a:off x="5895975" y="876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104775</xdr:rowOff>
    </xdr:from>
    <xdr:to>
      <xdr:col>4</xdr:col>
      <xdr:colOff>209550</xdr:colOff>
      <xdr:row>7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4724400" y="1362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104775</xdr:rowOff>
    </xdr:from>
    <xdr:to>
      <xdr:col>4</xdr:col>
      <xdr:colOff>209550</xdr:colOff>
      <xdr:row>7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724400" y="1362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104775</xdr:rowOff>
    </xdr:from>
    <xdr:to>
      <xdr:col>6</xdr:col>
      <xdr:colOff>238125</xdr:colOff>
      <xdr:row>7</xdr:row>
      <xdr:rowOff>104775</xdr:rowOff>
    </xdr:to>
    <xdr:sp>
      <xdr:nvSpPr>
        <xdr:cNvPr id="9" name="Line 10"/>
        <xdr:cNvSpPr>
          <a:spLocks/>
        </xdr:cNvSpPr>
      </xdr:nvSpPr>
      <xdr:spPr>
        <a:xfrm flipH="1">
          <a:off x="5895975" y="1362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104775</xdr:rowOff>
    </xdr:from>
    <xdr:to>
      <xdr:col>6</xdr:col>
      <xdr:colOff>238125</xdr:colOff>
      <xdr:row>7</xdr:row>
      <xdr:rowOff>104775</xdr:rowOff>
    </xdr:to>
    <xdr:sp>
      <xdr:nvSpPr>
        <xdr:cNvPr id="10" name="Line 11"/>
        <xdr:cNvSpPr>
          <a:spLocks/>
        </xdr:cNvSpPr>
      </xdr:nvSpPr>
      <xdr:spPr>
        <a:xfrm flipH="1">
          <a:off x="5895975" y="1362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104775</xdr:rowOff>
    </xdr:from>
    <xdr:to>
      <xdr:col>4</xdr:col>
      <xdr:colOff>209550</xdr:colOff>
      <xdr:row>9</xdr:row>
      <xdr:rowOff>104775</xdr:rowOff>
    </xdr:to>
    <xdr:sp>
      <xdr:nvSpPr>
        <xdr:cNvPr id="11" name="Line 16"/>
        <xdr:cNvSpPr>
          <a:spLocks/>
        </xdr:cNvSpPr>
      </xdr:nvSpPr>
      <xdr:spPr>
        <a:xfrm flipH="1">
          <a:off x="4724400" y="1685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104775</xdr:rowOff>
    </xdr:from>
    <xdr:to>
      <xdr:col>4</xdr:col>
      <xdr:colOff>209550</xdr:colOff>
      <xdr:row>9</xdr:row>
      <xdr:rowOff>104775</xdr:rowOff>
    </xdr:to>
    <xdr:sp>
      <xdr:nvSpPr>
        <xdr:cNvPr id="12" name="Line 17"/>
        <xdr:cNvSpPr>
          <a:spLocks/>
        </xdr:cNvSpPr>
      </xdr:nvSpPr>
      <xdr:spPr>
        <a:xfrm flipH="1">
          <a:off x="4724400" y="1685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104775</xdr:rowOff>
    </xdr:from>
    <xdr:to>
      <xdr:col>6</xdr:col>
      <xdr:colOff>238125</xdr:colOff>
      <xdr:row>9</xdr:row>
      <xdr:rowOff>104775</xdr:rowOff>
    </xdr:to>
    <xdr:sp>
      <xdr:nvSpPr>
        <xdr:cNvPr id="13" name="Line 18"/>
        <xdr:cNvSpPr>
          <a:spLocks/>
        </xdr:cNvSpPr>
      </xdr:nvSpPr>
      <xdr:spPr>
        <a:xfrm flipH="1">
          <a:off x="5895975" y="1685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104775</xdr:rowOff>
    </xdr:from>
    <xdr:to>
      <xdr:col>6</xdr:col>
      <xdr:colOff>238125</xdr:colOff>
      <xdr:row>9</xdr:row>
      <xdr:rowOff>104775</xdr:rowOff>
    </xdr:to>
    <xdr:sp>
      <xdr:nvSpPr>
        <xdr:cNvPr id="14" name="Line 19"/>
        <xdr:cNvSpPr>
          <a:spLocks/>
        </xdr:cNvSpPr>
      </xdr:nvSpPr>
      <xdr:spPr>
        <a:xfrm flipH="1">
          <a:off x="5895975" y="1685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104775</xdr:rowOff>
    </xdr:from>
    <xdr:to>
      <xdr:col>2</xdr:col>
      <xdr:colOff>238125</xdr:colOff>
      <xdr:row>10</xdr:row>
      <xdr:rowOff>104775</xdr:rowOff>
    </xdr:to>
    <xdr:sp>
      <xdr:nvSpPr>
        <xdr:cNvPr id="15" name="Line 20"/>
        <xdr:cNvSpPr>
          <a:spLocks/>
        </xdr:cNvSpPr>
      </xdr:nvSpPr>
      <xdr:spPr>
        <a:xfrm flipH="1">
          <a:off x="3419475" y="1847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104775</xdr:rowOff>
    </xdr:from>
    <xdr:to>
      <xdr:col>4</xdr:col>
      <xdr:colOff>209550</xdr:colOff>
      <xdr:row>13</xdr:row>
      <xdr:rowOff>104775</xdr:rowOff>
    </xdr:to>
    <xdr:sp>
      <xdr:nvSpPr>
        <xdr:cNvPr id="16" name="Line 21"/>
        <xdr:cNvSpPr>
          <a:spLocks/>
        </xdr:cNvSpPr>
      </xdr:nvSpPr>
      <xdr:spPr>
        <a:xfrm flipH="1">
          <a:off x="4724400" y="2390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104775</xdr:rowOff>
    </xdr:from>
    <xdr:to>
      <xdr:col>4</xdr:col>
      <xdr:colOff>209550</xdr:colOff>
      <xdr:row>13</xdr:row>
      <xdr:rowOff>104775</xdr:rowOff>
    </xdr:to>
    <xdr:sp>
      <xdr:nvSpPr>
        <xdr:cNvPr id="17" name="Line 22"/>
        <xdr:cNvSpPr>
          <a:spLocks/>
        </xdr:cNvSpPr>
      </xdr:nvSpPr>
      <xdr:spPr>
        <a:xfrm flipH="1">
          <a:off x="4724400" y="2390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104775</xdr:rowOff>
    </xdr:from>
    <xdr:to>
      <xdr:col>6</xdr:col>
      <xdr:colOff>238125</xdr:colOff>
      <xdr:row>13</xdr:row>
      <xdr:rowOff>104775</xdr:rowOff>
    </xdr:to>
    <xdr:sp>
      <xdr:nvSpPr>
        <xdr:cNvPr id="18" name="Line 23"/>
        <xdr:cNvSpPr>
          <a:spLocks/>
        </xdr:cNvSpPr>
      </xdr:nvSpPr>
      <xdr:spPr>
        <a:xfrm flipH="1">
          <a:off x="5895975" y="2390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104775</xdr:rowOff>
    </xdr:from>
    <xdr:to>
      <xdr:col>6</xdr:col>
      <xdr:colOff>238125</xdr:colOff>
      <xdr:row>13</xdr:row>
      <xdr:rowOff>104775</xdr:rowOff>
    </xdr:to>
    <xdr:sp>
      <xdr:nvSpPr>
        <xdr:cNvPr id="19" name="Line 24"/>
        <xdr:cNvSpPr>
          <a:spLocks/>
        </xdr:cNvSpPr>
      </xdr:nvSpPr>
      <xdr:spPr>
        <a:xfrm flipH="1">
          <a:off x="5895975" y="2390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104775</xdr:rowOff>
    </xdr:from>
    <xdr:to>
      <xdr:col>6</xdr:col>
      <xdr:colOff>238125</xdr:colOff>
      <xdr:row>14</xdr:row>
      <xdr:rowOff>104775</xdr:rowOff>
    </xdr:to>
    <xdr:sp>
      <xdr:nvSpPr>
        <xdr:cNvPr id="20" name="Line 25"/>
        <xdr:cNvSpPr>
          <a:spLocks/>
        </xdr:cNvSpPr>
      </xdr:nvSpPr>
      <xdr:spPr>
        <a:xfrm flipH="1">
          <a:off x="5895975" y="2552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104775</xdr:rowOff>
    </xdr:from>
    <xdr:to>
      <xdr:col>6</xdr:col>
      <xdr:colOff>238125</xdr:colOff>
      <xdr:row>14</xdr:row>
      <xdr:rowOff>104775</xdr:rowOff>
    </xdr:to>
    <xdr:sp>
      <xdr:nvSpPr>
        <xdr:cNvPr id="21" name="Line 26"/>
        <xdr:cNvSpPr>
          <a:spLocks/>
        </xdr:cNvSpPr>
      </xdr:nvSpPr>
      <xdr:spPr>
        <a:xfrm flipH="1">
          <a:off x="5895975" y="2552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104775</xdr:rowOff>
    </xdr:from>
    <xdr:to>
      <xdr:col>6</xdr:col>
      <xdr:colOff>238125</xdr:colOff>
      <xdr:row>7</xdr:row>
      <xdr:rowOff>104775</xdr:rowOff>
    </xdr:to>
    <xdr:sp>
      <xdr:nvSpPr>
        <xdr:cNvPr id="22" name="Line 27"/>
        <xdr:cNvSpPr>
          <a:spLocks/>
        </xdr:cNvSpPr>
      </xdr:nvSpPr>
      <xdr:spPr>
        <a:xfrm flipH="1">
          <a:off x="5895975" y="1362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104775</xdr:rowOff>
    </xdr:from>
    <xdr:to>
      <xdr:col>6</xdr:col>
      <xdr:colOff>238125</xdr:colOff>
      <xdr:row>7</xdr:row>
      <xdr:rowOff>104775</xdr:rowOff>
    </xdr:to>
    <xdr:sp>
      <xdr:nvSpPr>
        <xdr:cNvPr id="23" name="Line 28"/>
        <xdr:cNvSpPr>
          <a:spLocks/>
        </xdr:cNvSpPr>
      </xdr:nvSpPr>
      <xdr:spPr>
        <a:xfrm flipH="1">
          <a:off x="5895975" y="1362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104775</xdr:rowOff>
    </xdr:from>
    <xdr:to>
      <xdr:col>6</xdr:col>
      <xdr:colOff>238125</xdr:colOff>
      <xdr:row>13</xdr:row>
      <xdr:rowOff>104775</xdr:rowOff>
    </xdr:to>
    <xdr:sp>
      <xdr:nvSpPr>
        <xdr:cNvPr id="24" name="Line 29"/>
        <xdr:cNvSpPr>
          <a:spLocks/>
        </xdr:cNvSpPr>
      </xdr:nvSpPr>
      <xdr:spPr>
        <a:xfrm flipH="1">
          <a:off x="5895975" y="2390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104775</xdr:rowOff>
    </xdr:from>
    <xdr:to>
      <xdr:col>6</xdr:col>
      <xdr:colOff>238125</xdr:colOff>
      <xdr:row>13</xdr:row>
      <xdr:rowOff>104775</xdr:rowOff>
    </xdr:to>
    <xdr:sp>
      <xdr:nvSpPr>
        <xdr:cNvPr id="25" name="Line 30"/>
        <xdr:cNvSpPr>
          <a:spLocks/>
        </xdr:cNvSpPr>
      </xdr:nvSpPr>
      <xdr:spPr>
        <a:xfrm flipH="1">
          <a:off x="5895975" y="2390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104775</xdr:rowOff>
    </xdr:from>
    <xdr:to>
      <xdr:col>6</xdr:col>
      <xdr:colOff>238125</xdr:colOff>
      <xdr:row>14</xdr:row>
      <xdr:rowOff>104775</xdr:rowOff>
    </xdr:to>
    <xdr:sp>
      <xdr:nvSpPr>
        <xdr:cNvPr id="26" name="Line 31"/>
        <xdr:cNvSpPr>
          <a:spLocks/>
        </xdr:cNvSpPr>
      </xdr:nvSpPr>
      <xdr:spPr>
        <a:xfrm flipH="1">
          <a:off x="5895975" y="2552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104775</xdr:rowOff>
    </xdr:from>
    <xdr:to>
      <xdr:col>6</xdr:col>
      <xdr:colOff>238125</xdr:colOff>
      <xdr:row>14</xdr:row>
      <xdr:rowOff>104775</xdr:rowOff>
    </xdr:to>
    <xdr:sp>
      <xdr:nvSpPr>
        <xdr:cNvPr id="27" name="Line 32"/>
        <xdr:cNvSpPr>
          <a:spLocks/>
        </xdr:cNvSpPr>
      </xdr:nvSpPr>
      <xdr:spPr>
        <a:xfrm flipH="1">
          <a:off x="5895975" y="2552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104775</xdr:rowOff>
    </xdr:from>
    <xdr:to>
      <xdr:col>6</xdr:col>
      <xdr:colOff>238125</xdr:colOff>
      <xdr:row>14</xdr:row>
      <xdr:rowOff>104775</xdr:rowOff>
    </xdr:to>
    <xdr:sp>
      <xdr:nvSpPr>
        <xdr:cNvPr id="28" name="Line 33"/>
        <xdr:cNvSpPr>
          <a:spLocks/>
        </xdr:cNvSpPr>
      </xdr:nvSpPr>
      <xdr:spPr>
        <a:xfrm flipH="1">
          <a:off x="5895975" y="2552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104775</xdr:rowOff>
    </xdr:from>
    <xdr:to>
      <xdr:col>6</xdr:col>
      <xdr:colOff>238125</xdr:colOff>
      <xdr:row>14</xdr:row>
      <xdr:rowOff>104775</xdr:rowOff>
    </xdr:to>
    <xdr:sp>
      <xdr:nvSpPr>
        <xdr:cNvPr id="29" name="Line 34"/>
        <xdr:cNvSpPr>
          <a:spLocks/>
        </xdr:cNvSpPr>
      </xdr:nvSpPr>
      <xdr:spPr>
        <a:xfrm flipH="1">
          <a:off x="5895975" y="2552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104775</xdr:rowOff>
    </xdr:from>
    <xdr:to>
      <xdr:col>4</xdr:col>
      <xdr:colOff>209550</xdr:colOff>
      <xdr:row>16</xdr:row>
      <xdr:rowOff>104775</xdr:rowOff>
    </xdr:to>
    <xdr:sp>
      <xdr:nvSpPr>
        <xdr:cNvPr id="30" name="Line 35"/>
        <xdr:cNvSpPr>
          <a:spLocks/>
        </xdr:cNvSpPr>
      </xdr:nvSpPr>
      <xdr:spPr>
        <a:xfrm flipH="1">
          <a:off x="4724400" y="2933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104775</xdr:rowOff>
    </xdr:from>
    <xdr:to>
      <xdr:col>4</xdr:col>
      <xdr:colOff>209550</xdr:colOff>
      <xdr:row>16</xdr:row>
      <xdr:rowOff>104775</xdr:rowOff>
    </xdr:to>
    <xdr:sp>
      <xdr:nvSpPr>
        <xdr:cNvPr id="31" name="Line 36"/>
        <xdr:cNvSpPr>
          <a:spLocks/>
        </xdr:cNvSpPr>
      </xdr:nvSpPr>
      <xdr:spPr>
        <a:xfrm flipH="1">
          <a:off x="4724400" y="2933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104775</xdr:rowOff>
    </xdr:from>
    <xdr:to>
      <xdr:col>6</xdr:col>
      <xdr:colOff>238125</xdr:colOff>
      <xdr:row>16</xdr:row>
      <xdr:rowOff>104775</xdr:rowOff>
    </xdr:to>
    <xdr:sp>
      <xdr:nvSpPr>
        <xdr:cNvPr id="32" name="Line 37"/>
        <xdr:cNvSpPr>
          <a:spLocks/>
        </xdr:cNvSpPr>
      </xdr:nvSpPr>
      <xdr:spPr>
        <a:xfrm flipH="1">
          <a:off x="5895975" y="2933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104775</xdr:rowOff>
    </xdr:from>
    <xdr:to>
      <xdr:col>6</xdr:col>
      <xdr:colOff>238125</xdr:colOff>
      <xdr:row>16</xdr:row>
      <xdr:rowOff>104775</xdr:rowOff>
    </xdr:to>
    <xdr:sp>
      <xdr:nvSpPr>
        <xdr:cNvPr id="33" name="Line 38"/>
        <xdr:cNvSpPr>
          <a:spLocks/>
        </xdr:cNvSpPr>
      </xdr:nvSpPr>
      <xdr:spPr>
        <a:xfrm flipH="1">
          <a:off x="5895975" y="2933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104775</xdr:rowOff>
    </xdr:from>
    <xdr:to>
      <xdr:col>6</xdr:col>
      <xdr:colOff>238125</xdr:colOff>
      <xdr:row>16</xdr:row>
      <xdr:rowOff>104775</xdr:rowOff>
    </xdr:to>
    <xdr:sp>
      <xdr:nvSpPr>
        <xdr:cNvPr id="34" name="Line 39"/>
        <xdr:cNvSpPr>
          <a:spLocks/>
        </xdr:cNvSpPr>
      </xdr:nvSpPr>
      <xdr:spPr>
        <a:xfrm flipH="1">
          <a:off x="5895975" y="2933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104775</xdr:rowOff>
    </xdr:from>
    <xdr:to>
      <xdr:col>6</xdr:col>
      <xdr:colOff>238125</xdr:colOff>
      <xdr:row>16</xdr:row>
      <xdr:rowOff>104775</xdr:rowOff>
    </xdr:to>
    <xdr:sp>
      <xdr:nvSpPr>
        <xdr:cNvPr id="35" name="Line 40"/>
        <xdr:cNvSpPr>
          <a:spLocks/>
        </xdr:cNvSpPr>
      </xdr:nvSpPr>
      <xdr:spPr>
        <a:xfrm flipH="1">
          <a:off x="5895975" y="2933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104775</xdr:rowOff>
    </xdr:from>
    <xdr:to>
      <xdr:col>2</xdr:col>
      <xdr:colOff>238125</xdr:colOff>
      <xdr:row>17</xdr:row>
      <xdr:rowOff>104775</xdr:rowOff>
    </xdr:to>
    <xdr:sp>
      <xdr:nvSpPr>
        <xdr:cNvPr id="36" name="Line 41"/>
        <xdr:cNvSpPr>
          <a:spLocks/>
        </xdr:cNvSpPr>
      </xdr:nvSpPr>
      <xdr:spPr>
        <a:xfrm flipH="1">
          <a:off x="3419475" y="3095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104775</xdr:rowOff>
    </xdr:from>
    <xdr:to>
      <xdr:col>2</xdr:col>
      <xdr:colOff>238125</xdr:colOff>
      <xdr:row>17</xdr:row>
      <xdr:rowOff>104775</xdr:rowOff>
    </xdr:to>
    <xdr:sp>
      <xdr:nvSpPr>
        <xdr:cNvPr id="37" name="Line 42"/>
        <xdr:cNvSpPr>
          <a:spLocks/>
        </xdr:cNvSpPr>
      </xdr:nvSpPr>
      <xdr:spPr>
        <a:xfrm flipH="1">
          <a:off x="3419475" y="3095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104775</xdr:rowOff>
    </xdr:from>
    <xdr:to>
      <xdr:col>2</xdr:col>
      <xdr:colOff>238125</xdr:colOff>
      <xdr:row>18</xdr:row>
      <xdr:rowOff>104775</xdr:rowOff>
    </xdr:to>
    <xdr:sp>
      <xdr:nvSpPr>
        <xdr:cNvPr id="38" name="Line 43"/>
        <xdr:cNvSpPr>
          <a:spLocks/>
        </xdr:cNvSpPr>
      </xdr:nvSpPr>
      <xdr:spPr>
        <a:xfrm flipH="1">
          <a:off x="3419475" y="3257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104775</xdr:rowOff>
    </xdr:from>
    <xdr:to>
      <xdr:col>2</xdr:col>
      <xdr:colOff>238125</xdr:colOff>
      <xdr:row>18</xdr:row>
      <xdr:rowOff>104775</xdr:rowOff>
    </xdr:to>
    <xdr:sp>
      <xdr:nvSpPr>
        <xdr:cNvPr id="39" name="Line 44"/>
        <xdr:cNvSpPr>
          <a:spLocks/>
        </xdr:cNvSpPr>
      </xdr:nvSpPr>
      <xdr:spPr>
        <a:xfrm flipH="1">
          <a:off x="3419475" y="3257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14</xdr:row>
      <xdr:rowOff>95250</xdr:rowOff>
    </xdr:from>
    <xdr:to>
      <xdr:col>4</xdr:col>
      <xdr:colOff>581025</xdr:colOff>
      <xdr:row>14</xdr:row>
      <xdr:rowOff>95250</xdr:rowOff>
    </xdr:to>
    <xdr:sp>
      <xdr:nvSpPr>
        <xdr:cNvPr id="40" name="Line 48"/>
        <xdr:cNvSpPr>
          <a:spLocks/>
        </xdr:cNvSpPr>
      </xdr:nvSpPr>
      <xdr:spPr>
        <a:xfrm>
          <a:off x="4714875" y="2543175"/>
          <a:ext cx="552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104775</xdr:rowOff>
    </xdr:from>
    <xdr:to>
      <xdr:col>2</xdr:col>
      <xdr:colOff>238125</xdr:colOff>
      <xdr:row>5</xdr:row>
      <xdr:rowOff>104775</xdr:rowOff>
    </xdr:to>
    <xdr:sp>
      <xdr:nvSpPr>
        <xdr:cNvPr id="41" name="Line 49"/>
        <xdr:cNvSpPr>
          <a:spLocks/>
        </xdr:cNvSpPr>
      </xdr:nvSpPr>
      <xdr:spPr>
        <a:xfrm flipH="1">
          <a:off x="3419475" y="1038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104775</xdr:rowOff>
    </xdr:from>
    <xdr:to>
      <xdr:col>4</xdr:col>
      <xdr:colOff>209550</xdr:colOff>
      <xdr:row>11</xdr:row>
      <xdr:rowOff>104775</xdr:rowOff>
    </xdr:to>
    <xdr:sp>
      <xdr:nvSpPr>
        <xdr:cNvPr id="42" name="Line 52"/>
        <xdr:cNvSpPr>
          <a:spLocks/>
        </xdr:cNvSpPr>
      </xdr:nvSpPr>
      <xdr:spPr>
        <a:xfrm flipH="1">
          <a:off x="4724400" y="2009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104775</xdr:rowOff>
    </xdr:from>
    <xdr:to>
      <xdr:col>4</xdr:col>
      <xdr:colOff>209550</xdr:colOff>
      <xdr:row>11</xdr:row>
      <xdr:rowOff>104775</xdr:rowOff>
    </xdr:to>
    <xdr:sp>
      <xdr:nvSpPr>
        <xdr:cNvPr id="43" name="Line 53"/>
        <xdr:cNvSpPr>
          <a:spLocks/>
        </xdr:cNvSpPr>
      </xdr:nvSpPr>
      <xdr:spPr>
        <a:xfrm flipH="1">
          <a:off x="4724400" y="2009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104775</xdr:rowOff>
    </xdr:from>
    <xdr:to>
      <xdr:col>6</xdr:col>
      <xdr:colOff>238125</xdr:colOff>
      <xdr:row>11</xdr:row>
      <xdr:rowOff>104775</xdr:rowOff>
    </xdr:to>
    <xdr:sp>
      <xdr:nvSpPr>
        <xdr:cNvPr id="44" name="Line 54"/>
        <xdr:cNvSpPr>
          <a:spLocks/>
        </xdr:cNvSpPr>
      </xdr:nvSpPr>
      <xdr:spPr>
        <a:xfrm flipH="1">
          <a:off x="5895975" y="200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104775</xdr:rowOff>
    </xdr:from>
    <xdr:to>
      <xdr:col>6</xdr:col>
      <xdr:colOff>238125</xdr:colOff>
      <xdr:row>11</xdr:row>
      <xdr:rowOff>104775</xdr:rowOff>
    </xdr:to>
    <xdr:sp>
      <xdr:nvSpPr>
        <xdr:cNvPr id="45" name="Line 55"/>
        <xdr:cNvSpPr>
          <a:spLocks/>
        </xdr:cNvSpPr>
      </xdr:nvSpPr>
      <xdr:spPr>
        <a:xfrm flipH="1">
          <a:off x="5895975" y="200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104775</xdr:rowOff>
    </xdr:from>
    <xdr:to>
      <xdr:col>6</xdr:col>
      <xdr:colOff>238125</xdr:colOff>
      <xdr:row>11</xdr:row>
      <xdr:rowOff>104775</xdr:rowOff>
    </xdr:to>
    <xdr:sp>
      <xdr:nvSpPr>
        <xdr:cNvPr id="46" name="Line 56"/>
        <xdr:cNvSpPr>
          <a:spLocks/>
        </xdr:cNvSpPr>
      </xdr:nvSpPr>
      <xdr:spPr>
        <a:xfrm flipH="1">
          <a:off x="5895975" y="200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104775</xdr:rowOff>
    </xdr:from>
    <xdr:to>
      <xdr:col>6</xdr:col>
      <xdr:colOff>238125</xdr:colOff>
      <xdr:row>11</xdr:row>
      <xdr:rowOff>104775</xdr:rowOff>
    </xdr:to>
    <xdr:sp>
      <xdr:nvSpPr>
        <xdr:cNvPr id="47" name="Line 57"/>
        <xdr:cNvSpPr>
          <a:spLocks/>
        </xdr:cNvSpPr>
      </xdr:nvSpPr>
      <xdr:spPr>
        <a:xfrm flipH="1">
          <a:off x="5895975" y="200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19050</xdr:colOff>
      <xdr:row>0</xdr:row>
      <xdr:rowOff>95250</xdr:rowOff>
    </xdr:from>
    <xdr:to>
      <xdr:col>7</xdr:col>
      <xdr:colOff>57150</xdr:colOff>
      <xdr:row>2</xdr:row>
      <xdr:rowOff>142875</xdr:rowOff>
    </xdr:to>
    <xdr:pic>
      <xdr:nvPicPr>
        <xdr:cNvPr id="48" name="Picture 49" descr="KSRE_logo_26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104775</xdr:rowOff>
    </xdr:from>
    <xdr:to>
      <xdr:col>2</xdr:col>
      <xdr:colOff>238125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2543175" y="600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104775</xdr:rowOff>
    </xdr:from>
    <xdr:to>
      <xdr:col>4</xdr:col>
      <xdr:colOff>219075</xdr:colOff>
      <xdr:row>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562350" y="438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104775</xdr:rowOff>
    </xdr:from>
    <xdr:to>
      <xdr:col>4</xdr:col>
      <xdr:colOff>219075</xdr:colOff>
      <xdr:row>4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562350" y="762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104775</xdr:rowOff>
    </xdr:from>
    <xdr:to>
      <xdr:col>4</xdr:col>
      <xdr:colOff>219075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3562350" y="9239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104775</xdr:rowOff>
    </xdr:from>
    <xdr:to>
      <xdr:col>2</xdr:col>
      <xdr:colOff>238125</xdr:colOff>
      <xdr:row>8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2543175" y="1295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104775</xdr:rowOff>
    </xdr:from>
    <xdr:to>
      <xdr:col>2</xdr:col>
      <xdr:colOff>238125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2543175" y="161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104775</xdr:rowOff>
    </xdr:from>
    <xdr:to>
      <xdr:col>2</xdr:col>
      <xdr:colOff>238125</xdr:colOff>
      <xdr:row>26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2543175" y="3867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104775</xdr:rowOff>
    </xdr:from>
    <xdr:to>
      <xdr:col>4</xdr:col>
      <xdr:colOff>219075</xdr:colOff>
      <xdr:row>7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3562350" y="1133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104775</xdr:rowOff>
    </xdr:from>
    <xdr:to>
      <xdr:col>4</xdr:col>
      <xdr:colOff>219075</xdr:colOff>
      <xdr:row>9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562350" y="1457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104775</xdr:rowOff>
    </xdr:from>
    <xdr:to>
      <xdr:col>4</xdr:col>
      <xdr:colOff>219075</xdr:colOff>
      <xdr:row>12</xdr:row>
      <xdr:rowOff>104775</xdr:rowOff>
    </xdr:to>
    <xdr:sp>
      <xdr:nvSpPr>
        <xdr:cNvPr id="10" name="Line 10"/>
        <xdr:cNvSpPr>
          <a:spLocks/>
        </xdr:cNvSpPr>
      </xdr:nvSpPr>
      <xdr:spPr>
        <a:xfrm flipH="1">
          <a:off x="3562350" y="1828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104775</xdr:rowOff>
    </xdr:from>
    <xdr:to>
      <xdr:col>4</xdr:col>
      <xdr:colOff>219075</xdr:colOff>
      <xdr:row>13</xdr:row>
      <xdr:rowOff>104775</xdr:rowOff>
    </xdr:to>
    <xdr:sp>
      <xdr:nvSpPr>
        <xdr:cNvPr id="11" name="Line 11"/>
        <xdr:cNvSpPr>
          <a:spLocks/>
        </xdr:cNvSpPr>
      </xdr:nvSpPr>
      <xdr:spPr>
        <a:xfrm flipH="1">
          <a:off x="3562350" y="19907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104775</xdr:rowOff>
    </xdr:from>
    <xdr:to>
      <xdr:col>4</xdr:col>
      <xdr:colOff>219075</xdr:colOff>
      <xdr:row>14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3562350" y="21526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104775</xdr:rowOff>
    </xdr:from>
    <xdr:to>
      <xdr:col>4</xdr:col>
      <xdr:colOff>219075</xdr:colOff>
      <xdr:row>15</xdr:row>
      <xdr:rowOff>104775</xdr:rowOff>
    </xdr:to>
    <xdr:sp>
      <xdr:nvSpPr>
        <xdr:cNvPr id="13" name="Line 13"/>
        <xdr:cNvSpPr>
          <a:spLocks/>
        </xdr:cNvSpPr>
      </xdr:nvSpPr>
      <xdr:spPr>
        <a:xfrm flipH="1">
          <a:off x="3562350" y="23145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104775</xdr:rowOff>
    </xdr:from>
    <xdr:to>
      <xdr:col>4</xdr:col>
      <xdr:colOff>219075</xdr:colOff>
      <xdr:row>16</xdr:row>
      <xdr:rowOff>104775</xdr:rowOff>
    </xdr:to>
    <xdr:sp>
      <xdr:nvSpPr>
        <xdr:cNvPr id="14" name="Line 14"/>
        <xdr:cNvSpPr>
          <a:spLocks/>
        </xdr:cNvSpPr>
      </xdr:nvSpPr>
      <xdr:spPr>
        <a:xfrm flipH="1">
          <a:off x="3562350" y="2476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104775</xdr:rowOff>
    </xdr:from>
    <xdr:to>
      <xdr:col>4</xdr:col>
      <xdr:colOff>219075</xdr:colOff>
      <xdr:row>17</xdr:row>
      <xdr:rowOff>104775</xdr:rowOff>
    </xdr:to>
    <xdr:sp>
      <xdr:nvSpPr>
        <xdr:cNvPr id="15" name="Line 15"/>
        <xdr:cNvSpPr>
          <a:spLocks/>
        </xdr:cNvSpPr>
      </xdr:nvSpPr>
      <xdr:spPr>
        <a:xfrm flipH="1">
          <a:off x="3562350" y="26384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104775</xdr:rowOff>
    </xdr:from>
    <xdr:to>
      <xdr:col>4</xdr:col>
      <xdr:colOff>219075</xdr:colOff>
      <xdr:row>18</xdr:row>
      <xdr:rowOff>104775</xdr:rowOff>
    </xdr:to>
    <xdr:sp>
      <xdr:nvSpPr>
        <xdr:cNvPr id="16" name="Line 16"/>
        <xdr:cNvSpPr>
          <a:spLocks/>
        </xdr:cNvSpPr>
      </xdr:nvSpPr>
      <xdr:spPr>
        <a:xfrm flipH="1">
          <a:off x="3562350" y="2800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104775</xdr:rowOff>
    </xdr:from>
    <xdr:to>
      <xdr:col>4</xdr:col>
      <xdr:colOff>219075</xdr:colOff>
      <xdr:row>20</xdr:row>
      <xdr:rowOff>104775</xdr:rowOff>
    </xdr:to>
    <xdr:sp>
      <xdr:nvSpPr>
        <xdr:cNvPr id="17" name="Line 17"/>
        <xdr:cNvSpPr>
          <a:spLocks/>
        </xdr:cNvSpPr>
      </xdr:nvSpPr>
      <xdr:spPr>
        <a:xfrm flipH="1">
          <a:off x="3562350" y="3009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104775</xdr:rowOff>
    </xdr:from>
    <xdr:to>
      <xdr:col>4</xdr:col>
      <xdr:colOff>219075</xdr:colOff>
      <xdr:row>21</xdr:row>
      <xdr:rowOff>104775</xdr:rowOff>
    </xdr:to>
    <xdr:sp>
      <xdr:nvSpPr>
        <xdr:cNvPr id="18" name="Line 18"/>
        <xdr:cNvSpPr>
          <a:spLocks/>
        </xdr:cNvSpPr>
      </xdr:nvSpPr>
      <xdr:spPr>
        <a:xfrm flipH="1">
          <a:off x="3562350" y="3171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23</xdr:row>
      <xdr:rowOff>104775</xdr:rowOff>
    </xdr:from>
    <xdr:to>
      <xdr:col>4</xdr:col>
      <xdr:colOff>219075</xdr:colOff>
      <xdr:row>23</xdr:row>
      <xdr:rowOff>104775</xdr:rowOff>
    </xdr:to>
    <xdr:sp>
      <xdr:nvSpPr>
        <xdr:cNvPr id="19" name="Line 19"/>
        <xdr:cNvSpPr>
          <a:spLocks/>
        </xdr:cNvSpPr>
      </xdr:nvSpPr>
      <xdr:spPr>
        <a:xfrm flipH="1">
          <a:off x="3562350" y="3495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104775</xdr:rowOff>
    </xdr:from>
    <xdr:to>
      <xdr:col>6</xdr:col>
      <xdr:colOff>209550</xdr:colOff>
      <xdr:row>2</xdr:row>
      <xdr:rowOff>104775</xdr:rowOff>
    </xdr:to>
    <xdr:sp>
      <xdr:nvSpPr>
        <xdr:cNvPr id="20" name="Line 20"/>
        <xdr:cNvSpPr>
          <a:spLocks/>
        </xdr:cNvSpPr>
      </xdr:nvSpPr>
      <xdr:spPr>
        <a:xfrm flipH="1">
          <a:off x="4610100" y="438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104775</xdr:rowOff>
    </xdr:from>
    <xdr:to>
      <xdr:col>6</xdr:col>
      <xdr:colOff>209550</xdr:colOff>
      <xdr:row>4</xdr:row>
      <xdr:rowOff>104775</xdr:rowOff>
    </xdr:to>
    <xdr:sp>
      <xdr:nvSpPr>
        <xdr:cNvPr id="21" name="Line 21"/>
        <xdr:cNvSpPr>
          <a:spLocks/>
        </xdr:cNvSpPr>
      </xdr:nvSpPr>
      <xdr:spPr>
        <a:xfrm flipH="1">
          <a:off x="4610100" y="762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</xdr:row>
      <xdr:rowOff>104775</xdr:rowOff>
    </xdr:from>
    <xdr:to>
      <xdr:col>6</xdr:col>
      <xdr:colOff>209550</xdr:colOff>
      <xdr:row>5</xdr:row>
      <xdr:rowOff>104775</xdr:rowOff>
    </xdr:to>
    <xdr:sp>
      <xdr:nvSpPr>
        <xdr:cNvPr id="22" name="Line 22"/>
        <xdr:cNvSpPr>
          <a:spLocks/>
        </xdr:cNvSpPr>
      </xdr:nvSpPr>
      <xdr:spPr>
        <a:xfrm flipH="1">
          <a:off x="4610100" y="923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104775</xdr:rowOff>
    </xdr:from>
    <xdr:to>
      <xdr:col>6</xdr:col>
      <xdr:colOff>209550</xdr:colOff>
      <xdr:row>7</xdr:row>
      <xdr:rowOff>104775</xdr:rowOff>
    </xdr:to>
    <xdr:sp>
      <xdr:nvSpPr>
        <xdr:cNvPr id="23" name="Line 23"/>
        <xdr:cNvSpPr>
          <a:spLocks/>
        </xdr:cNvSpPr>
      </xdr:nvSpPr>
      <xdr:spPr>
        <a:xfrm flipH="1">
          <a:off x="4610100" y="1133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104775</xdr:rowOff>
    </xdr:from>
    <xdr:to>
      <xdr:col>6</xdr:col>
      <xdr:colOff>209550</xdr:colOff>
      <xdr:row>9</xdr:row>
      <xdr:rowOff>104775</xdr:rowOff>
    </xdr:to>
    <xdr:sp>
      <xdr:nvSpPr>
        <xdr:cNvPr id="24" name="Line 24"/>
        <xdr:cNvSpPr>
          <a:spLocks/>
        </xdr:cNvSpPr>
      </xdr:nvSpPr>
      <xdr:spPr>
        <a:xfrm flipH="1">
          <a:off x="4610100" y="1457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104775</xdr:rowOff>
    </xdr:from>
    <xdr:to>
      <xdr:col>6</xdr:col>
      <xdr:colOff>209550</xdr:colOff>
      <xdr:row>12</xdr:row>
      <xdr:rowOff>104775</xdr:rowOff>
    </xdr:to>
    <xdr:sp>
      <xdr:nvSpPr>
        <xdr:cNvPr id="25" name="Line 25"/>
        <xdr:cNvSpPr>
          <a:spLocks/>
        </xdr:cNvSpPr>
      </xdr:nvSpPr>
      <xdr:spPr>
        <a:xfrm flipH="1">
          <a:off x="4610100" y="18288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104775</xdr:rowOff>
    </xdr:from>
    <xdr:to>
      <xdr:col>6</xdr:col>
      <xdr:colOff>209550</xdr:colOff>
      <xdr:row>13</xdr:row>
      <xdr:rowOff>104775</xdr:rowOff>
    </xdr:to>
    <xdr:sp>
      <xdr:nvSpPr>
        <xdr:cNvPr id="26" name="Line 26"/>
        <xdr:cNvSpPr>
          <a:spLocks/>
        </xdr:cNvSpPr>
      </xdr:nvSpPr>
      <xdr:spPr>
        <a:xfrm flipH="1">
          <a:off x="4610100" y="1990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104775</xdr:rowOff>
    </xdr:from>
    <xdr:to>
      <xdr:col>6</xdr:col>
      <xdr:colOff>209550</xdr:colOff>
      <xdr:row>14</xdr:row>
      <xdr:rowOff>104775</xdr:rowOff>
    </xdr:to>
    <xdr:sp>
      <xdr:nvSpPr>
        <xdr:cNvPr id="27" name="Line 27"/>
        <xdr:cNvSpPr>
          <a:spLocks/>
        </xdr:cNvSpPr>
      </xdr:nvSpPr>
      <xdr:spPr>
        <a:xfrm flipH="1">
          <a:off x="4610100" y="2152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15</xdr:row>
      <xdr:rowOff>104775</xdr:rowOff>
    </xdr:from>
    <xdr:to>
      <xdr:col>6</xdr:col>
      <xdr:colOff>209550</xdr:colOff>
      <xdr:row>15</xdr:row>
      <xdr:rowOff>104775</xdr:rowOff>
    </xdr:to>
    <xdr:sp>
      <xdr:nvSpPr>
        <xdr:cNvPr id="28" name="Line 28"/>
        <xdr:cNvSpPr>
          <a:spLocks/>
        </xdr:cNvSpPr>
      </xdr:nvSpPr>
      <xdr:spPr>
        <a:xfrm flipH="1">
          <a:off x="4610100" y="2314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104775</xdr:rowOff>
    </xdr:from>
    <xdr:to>
      <xdr:col>6</xdr:col>
      <xdr:colOff>209550</xdr:colOff>
      <xdr:row>16</xdr:row>
      <xdr:rowOff>104775</xdr:rowOff>
    </xdr:to>
    <xdr:sp>
      <xdr:nvSpPr>
        <xdr:cNvPr id="29" name="Line 29"/>
        <xdr:cNvSpPr>
          <a:spLocks/>
        </xdr:cNvSpPr>
      </xdr:nvSpPr>
      <xdr:spPr>
        <a:xfrm flipH="1">
          <a:off x="4610100" y="2476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104775</xdr:rowOff>
    </xdr:from>
    <xdr:to>
      <xdr:col>6</xdr:col>
      <xdr:colOff>209550</xdr:colOff>
      <xdr:row>17</xdr:row>
      <xdr:rowOff>104775</xdr:rowOff>
    </xdr:to>
    <xdr:sp>
      <xdr:nvSpPr>
        <xdr:cNvPr id="30" name="Line 30"/>
        <xdr:cNvSpPr>
          <a:spLocks/>
        </xdr:cNvSpPr>
      </xdr:nvSpPr>
      <xdr:spPr>
        <a:xfrm flipH="1">
          <a:off x="4610100" y="2638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104775</xdr:rowOff>
    </xdr:from>
    <xdr:to>
      <xdr:col>6</xdr:col>
      <xdr:colOff>209550</xdr:colOff>
      <xdr:row>18</xdr:row>
      <xdr:rowOff>104775</xdr:rowOff>
    </xdr:to>
    <xdr:sp>
      <xdr:nvSpPr>
        <xdr:cNvPr id="31" name="Line 31"/>
        <xdr:cNvSpPr>
          <a:spLocks/>
        </xdr:cNvSpPr>
      </xdr:nvSpPr>
      <xdr:spPr>
        <a:xfrm flipH="1">
          <a:off x="4610100" y="2800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104775</xdr:rowOff>
    </xdr:from>
    <xdr:to>
      <xdr:col>6</xdr:col>
      <xdr:colOff>209550</xdr:colOff>
      <xdr:row>20</xdr:row>
      <xdr:rowOff>104775</xdr:rowOff>
    </xdr:to>
    <xdr:sp>
      <xdr:nvSpPr>
        <xdr:cNvPr id="32" name="Line 32"/>
        <xdr:cNvSpPr>
          <a:spLocks/>
        </xdr:cNvSpPr>
      </xdr:nvSpPr>
      <xdr:spPr>
        <a:xfrm flipH="1">
          <a:off x="4610100" y="3009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21</xdr:row>
      <xdr:rowOff>104775</xdr:rowOff>
    </xdr:from>
    <xdr:to>
      <xdr:col>6</xdr:col>
      <xdr:colOff>209550</xdr:colOff>
      <xdr:row>21</xdr:row>
      <xdr:rowOff>104775</xdr:rowOff>
    </xdr:to>
    <xdr:sp>
      <xdr:nvSpPr>
        <xdr:cNvPr id="33" name="Line 33"/>
        <xdr:cNvSpPr>
          <a:spLocks/>
        </xdr:cNvSpPr>
      </xdr:nvSpPr>
      <xdr:spPr>
        <a:xfrm flipH="1">
          <a:off x="4610100" y="3171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23</xdr:row>
      <xdr:rowOff>104775</xdr:rowOff>
    </xdr:from>
    <xdr:to>
      <xdr:col>6</xdr:col>
      <xdr:colOff>209550</xdr:colOff>
      <xdr:row>23</xdr:row>
      <xdr:rowOff>104775</xdr:rowOff>
    </xdr:to>
    <xdr:sp>
      <xdr:nvSpPr>
        <xdr:cNvPr id="34" name="Line 34"/>
        <xdr:cNvSpPr>
          <a:spLocks/>
        </xdr:cNvSpPr>
      </xdr:nvSpPr>
      <xdr:spPr>
        <a:xfrm flipH="1">
          <a:off x="4610100" y="3495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1</xdr:row>
      <xdr:rowOff>66675</xdr:rowOff>
    </xdr:from>
    <xdr:to>
      <xdr:col>7</xdr:col>
      <xdr:colOff>1028700</xdr:colOff>
      <xdr:row>4</xdr:row>
      <xdr:rowOff>0</xdr:rowOff>
    </xdr:to>
    <xdr:pic>
      <xdr:nvPicPr>
        <xdr:cNvPr id="35" name="Picture 35" descr="KSRE_logo_26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286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4</xdr:row>
      <xdr:rowOff>104775</xdr:rowOff>
    </xdr:from>
    <xdr:to>
      <xdr:col>6</xdr:col>
      <xdr:colOff>209550</xdr:colOff>
      <xdr:row>4</xdr:row>
      <xdr:rowOff>104775</xdr:rowOff>
    </xdr:to>
    <xdr:sp>
      <xdr:nvSpPr>
        <xdr:cNvPr id="36" name="Line 3"/>
        <xdr:cNvSpPr>
          <a:spLocks/>
        </xdr:cNvSpPr>
      </xdr:nvSpPr>
      <xdr:spPr>
        <a:xfrm flipH="1">
          <a:off x="4610100" y="762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9</xdr:col>
      <xdr:colOff>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2819400"/>
        <a:ext cx="56673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4</xdr:row>
      <xdr:rowOff>104775</xdr:rowOff>
    </xdr:from>
    <xdr:to>
      <xdr:col>7</xdr:col>
      <xdr:colOff>209550</xdr:colOff>
      <xdr:row>4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4448175" y="838200"/>
          <a:ext cx="171450" cy="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38</xdr:row>
      <xdr:rowOff>104775</xdr:rowOff>
    </xdr:from>
    <xdr:to>
      <xdr:col>8</xdr:col>
      <xdr:colOff>209550</xdr:colOff>
      <xdr:row>38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5076825" y="6553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39</xdr:row>
      <xdr:rowOff>104775</xdr:rowOff>
    </xdr:from>
    <xdr:to>
      <xdr:col>8</xdr:col>
      <xdr:colOff>209550</xdr:colOff>
      <xdr:row>39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5076825" y="67151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40</xdr:row>
      <xdr:rowOff>104775</xdr:rowOff>
    </xdr:from>
    <xdr:to>
      <xdr:col>8</xdr:col>
      <xdr:colOff>209550</xdr:colOff>
      <xdr:row>40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076825" y="6877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12</xdr:row>
      <xdr:rowOff>133350</xdr:rowOff>
    </xdr:from>
    <xdr:to>
      <xdr:col>8</xdr:col>
      <xdr:colOff>400050</xdr:colOff>
      <xdr:row>15</xdr:row>
      <xdr:rowOff>9525</xdr:rowOff>
    </xdr:to>
    <xdr:pic>
      <xdr:nvPicPr>
        <xdr:cNvPr id="6" name="Picture 6" descr="KSRE_logo_26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9</xdr:col>
      <xdr:colOff>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2228850"/>
        <a:ext cx="58959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142875</xdr:colOff>
      <xdr:row>9</xdr:row>
      <xdr:rowOff>9525</xdr:rowOff>
    </xdr:from>
    <xdr:to>
      <xdr:col>8</xdr:col>
      <xdr:colOff>304800</xdr:colOff>
      <xdr:row>11</xdr:row>
      <xdr:rowOff>76200</xdr:rowOff>
    </xdr:to>
    <xdr:pic>
      <xdr:nvPicPr>
        <xdr:cNvPr id="2" name="Picture 2" descr="KSRE_logo_26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66687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</cdr:x>
      <cdr:y>0.16425</cdr:y>
    </cdr:from>
    <cdr:to>
      <cdr:x>0.935</cdr:x>
      <cdr:y>0.2515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457200"/>
          <a:ext cx="1619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Corn price in $/bu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152400</xdr:rowOff>
    </xdr:from>
    <xdr:to>
      <xdr:col>9</xdr:col>
      <xdr:colOff>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9525" y="2828925"/>
        <a:ext cx="5629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209550</xdr:colOff>
      <xdr:row>3</xdr:row>
      <xdr:rowOff>57150</xdr:rowOff>
    </xdr:to>
    <xdr:pic>
      <xdr:nvPicPr>
        <xdr:cNvPr id="2" name="Picture 2" descr="KSRE_logo_26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90500"/>
          <a:ext cx="838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4.421875" style="0" customWidth="1"/>
    <col min="2" max="2" width="6.28125" style="0" customWidth="1"/>
    <col min="3" max="3" width="11.57421875" style="0" customWidth="1"/>
    <col min="4" max="4" width="8.00390625" style="0" customWidth="1"/>
    <col min="5" max="5" width="8.7109375" style="0" customWidth="1"/>
    <col min="6" max="6" width="8.8515625" style="0" customWidth="1"/>
    <col min="7" max="7" width="11.8515625" style="0" customWidth="1"/>
    <col min="8" max="8" width="0.9921875" style="0" customWidth="1"/>
  </cols>
  <sheetData>
    <row r="1" spans="1:12" ht="15" customHeight="1">
      <c r="A1" s="74" t="s">
        <v>13</v>
      </c>
      <c r="B1" s="77"/>
      <c r="C1" s="77"/>
      <c r="D1" s="77"/>
      <c r="E1" s="77"/>
      <c r="F1" s="77"/>
      <c r="G1" s="42"/>
      <c r="H1" s="42"/>
      <c r="I1" s="1"/>
      <c r="J1" s="1"/>
      <c r="K1" s="1"/>
      <c r="L1" s="1"/>
    </row>
    <row r="2" spans="1:12" ht="15" customHeight="1">
      <c r="A2" s="74" t="s">
        <v>0</v>
      </c>
      <c r="B2" s="77"/>
      <c r="C2" s="77"/>
      <c r="D2" s="77"/>
      <c r="E2" s="77"/>
      <c r="F2" s="77"/>
      <c r="G2" s="42"/>
      <c r="H2" s="42"/>
      <c r="I2" s="1"/>
      <c r="J2" s="1"/>
      <c r="K2" s="1"/>
      <c r="L2" s="1"/>
    </row>
    <row r="3" spans="1:12" ht="18.75" customHeight="1">
      <c r="A3" s="74" t="s">
        <v>1</v>
      </c>
      <c r="B3" s="135" t="s">
        <v>87</v>
      </c>
      <c r="C3" s="135"/>
      <c r="D3" s="54"/>
      <c r="E3" s="54"/>
      <c r="F3" s="54"/>
      <c r="G3" s="42"/>
      <c r="H3" s="42"/>
      <c r="I3" s="1"/>
      <c r="J3" s="1"/>
      <c r="K3" s="1"/>
      <c r="L3" s="1"/>
    </row>
    <row r="4" spans="1:12" ht="12" customHeight="1">
      <c r="A4" s="134"/>
      <c r="B4" s="45" t="s">
        <v>2</v>
      </c>
      <c r="C4" s="46" t="s">
        <v>11</v>
      </c>
      <c r="D4" s="45" t="s">
        <v>4</v>
      </c>
      <c r="E4" s="46" t="s">
        <v>11</v>
      </c>
      <c r="F4" s="45" t="s">
        <v>3</v>
      </c>
      <c r="G4" s="46" t="s">
        <v>11</v>
      </c>
      <c r="H4" s="42"/>
      <c r="I4" s="1"/>
      <c r="J4" s="1"/>
      <c r="K4" s="1"/>
      <c r="L4" s="1"/>
    </row>
    <row r="5" spans="1:12" ht="12.75">
      <c r="A5" s="42" t="s">
        <v>8</v>
      </c>
      <c r="B5" s="47">
        <v>160</v>
      </c>
      <c r="C5" s="48">
        <v>160</v>
      </c>
      <c r="D5" s="47">
        <v>125</v>
      </c>
      <c r="E5" s="48">
        <v>125</v>
      </c>
      <c r="F5" s="47">
        <v>155</v>
      </c>
      <c r="G5" s="48">
        <v>155</v>
      </c>
      <c r="H5" s="42"/>
      <c r="I5" s="1"/>
      <c r="J5" s="1"/>
      <c r="K5" s="1"/>
      <c r="L5" s="1"/>
    </row>
    <row r="6" spans="1:12" ht="12.75">
      <c r="A6" s="42" t="s">
        <v>80</v>
      </c>
      <c r="B6" s="47">
        <v>5</v>
      </c>
      <c r="C6" s="48">
        <v>5</v>
      </c>
      <c r="D6" s="49" t="str">
        <f>IF(MIN(B5-CPA,B5-SDIA,B5-B6,B5-(CPA-B6),B5-(SDIA+B6))&lt;0,"Error! Total field area must be greater than other areas"," ")</f>
        <v> </v>
      </c>
      <c r="E6" s="48"/>
      <c r="F6" s="42"/>
      <c r="G6" s="48"/>
      <c r="H6" s="42"/>
      <c r="I6" s="1"/>
      <c r="J6" s="1"/>
      <c r="K6" s="1"/>
      <c r="L6" s="1"/>
    </row>
    <row r="7" spans="1:12" ht="12.75">
      <c r="A7" s="42" t="s">
        <v>81</v>
      </c>
      <c r="B7" s="42"/>
      <c r="C7" s="48"/>
      <c r="D7" s="42">
        <f>B5-B6-D5</f>
        <v>30</v>
      </c>
      <c r="E7" s="48"/>
      <c r="F7" s="42">
        <f>B5-B6-F5</f>
        <v>0</v>
      </c>
      <c r="G7" s="48"/>
      <c r="H7" s="42"/>
      <c r="I7" s="1"/>
      <c r="J7" s="1"/>
      <c r="K7" s="1"/>
      <c r="L7" s="1"/>
    </row>
    <row r="8" spans="1:12" ht="12.75">
      <c r="A8" s="42" t="s">
        <v>6</v>
      </c>
      <c r="B8" s="42"/>
      <c r="C8" s="42"/>
      <c r="D8" s="50">
        <v>89010</v>
      </c>
      <c r="E8" s="51">
        <v>89010</v>
      </c>
      <c r="F8" s="136">
        <v>206300</v>
      </c>
      <c r="G8" s="51">
        <v>206300</v>
      </c>
      <c r="H8" s="42"/>
      <c r="I8" s="1"/>
      <c r="J8" s="1"/>
      <c r="K8" s="1"/>
      <c r="L8" s="1"/>
    </row>
    <row r="9" spans="1:12" ht="12.75">
      <c r="A9" s="42" t="s">
        <v>12</v>
      </c>
      <c r="B9" s="43"/>
      <c r="C9" s="54"/>
      <c r="D9" s="133">
        <f>D8/D5</f>
        <v>712.08</v>
      </c>
      <c r="E9" s="48"/>
      <c r="F9" s="133">
        <f>F8/F5</f>
        <v>1330.967741935484</v>
      </c>
      <c r="G9" s="48"/>
      <c r="H9" s="42"/>
      <c r="I9" s="1"/>
      <c r="J9" s="1"/>
      <c r="K9" s="1"/>
      <c r="L9" s="1"/>
    </row>
    <row r="10" spans="1:12" ht="12.75">
      <c r="A10" s="42" t="s">
        <v>7</v>
      </c>
      <c r="B10" s="42"/>
      <c r="C10" s="46"/>
      <c r="D10" s="47">
        <v>25</v>
      </c>
      <c r="E10" s="48">
        <v>25</v>
      </c>
      <c r="F10" s="47">
        <v>22</v>
      </c>
      <c r="G10" s="48">
        <v>22</v>
      </c>
      <c r="H10" s="42"/>
      <c r="I10" s="1"/>
      <c r="J10" s="1"/>
      <c r="K10" s="1"/>
      <c r="L10" s="1"/>
    </row>
    <row r="11" spans="1:12" ht="12.75">
      <c r="A11" s="42" t="s">
        <v>37</v>
      </c>
      <c r="B11" s="130">
        <v>0.06</v>
      </c>
      <c r="C11" s="52">
        <v>0.06</v>
      </c>
      <c r="D11" s="53"/>
      <c r="E11" s="48"/>
      <c r="F11" s="53"/>
      <c r="G11" s="48"/>
      <c r="H11" s="42"/>
      <c r="I11" s="1"/>
      <c r="J11" s="1"/>
      <c r="K11" s="1"/>
      <c r="L11" s="1"/>
    </row>
    <row r="12" spans="1:12" ht="12.75">
      <c r="A12" s="54" t="s">
        <v>33</v>
      </c>
      <c r="B12" s="42"/>
      <c r="C12" s="42"/>
      <c r="D12" s="55">
        <v>0.016</v>
      </c>
      <c r="E12" s="56">
        <v>0.016</v>
      </c>
      <c r="F12" s="55">
        <v>0.006</v>
      </c>
      <c r="G12" s="118">
        <v>0.006</v>
      </c>
      <c r="H12" s="42"/>
      <c r="I12" s="1"/>
      <c r="J12" s="1"/>
      <c r="K12" s="1"/>
      <c r="L12" s="1"/>
    </row>
    <row r="13" spans="1:12" ht="17.25" customHeight="1">
      <c r="A13" s="41" t="s">
        <v>5</v>
      </c>
      <c r="B13" s="42"/>
      <c r="C13" s="42"/>
      <c r="D13" s="45" t="s">
        <v>4</v>
      </c>
      <c r="E13" s="46" t="s">
        <v>11</v>
      </c>
      <c r="F13" s="45" t="s">
        <v>3</v>
      </c>
      <c r="G13" s="46" t="s">
        <v>11</v>
      </c>
      <c r="H13" s="42"/>
      <c r="I13" s="1"/>
      <c r="J13" s="1"/>
      <c r="K13" s="1"/>
      <c r="L13" s="1"/>
    </row>
    <row r="14" spans="1:12" ht="12.75">
      <c r="A14" s="42" t="s">
        <v>82</v>
      </c>
      <c r="B14" s="42"/>
      <c r="C14" s="42"/>
      <c r="D14" s="57">
        <v>589.31</v>
      </c>
      <c r="E14" s="58">
        <f>'CF'!D29</f>
        <v>589.3145</v>
      </c>
      <c r="F14" s="57">
        <v>573.62</v>
      </c>
      <c r="G14" s="120">
        <f>'CF'!F29</f>
        <v>573.6173000000001</v>
      </c>
      <c r="H14" s="42"/>
      <c r="I14" s="1"/>
      <c r="J14" s="1"/>
      <c r="K14" s="1"/>
      <c r="L14" s="1"/>
    </row>
    <row r="15" spans="1:8" ht="12.75">
      <c r="A15" s="42" t="s">
        <v>30</v>
      </c>
      <c r="B15" s="42"/>
      <c r="C15" s="42"/>
      <c r="D15" s="59" t="str">
        <f>IF(F15&lt;0,"Additional Savings","Additional Costs")</f>
        <v>Additional Costs</v>
      </c>
      <c r="E15" s="60"/>
      <c r="F15" s="61">
        <v>0</v>
      </c>
      <c r="G15" s="120">
        <v>0</v>
      </c>
      <c r="H15" s="42"/>
    </row>
    <row r="16" spans="1:8" ht="17.25" customHeight="1">
      <c r="A16" s="41" t="s">
        <v>9</v>
      </c>
      <c r="B16" s="42"/>
      <c r="C16" s="42"/>
      <c r="D16" s="45" t="s">
        <v>4</v>
      </c>
      <c r="E16" s="46" t="s">
        <v>11</v>
      </c>
      <c r="F16" s="45" t="s">
        <v>3</v>
      </c>
      <c r="G16" s="46" t="s">
        <v>11</v>
      </c>
      <c r="H16" s="42"/>
    </row>
    <row r="17" spans="1:8" ht="12.75">
      <c r="A17" s="42" t="s">
        <v>10</v>
      </c>
      <c r="B17" s="42"/>
      <c r="C17" s="46" t="s">
        <v>11</v>
      </c>
      <c r="D17" s="62">
        <v>240</v>
      </c>
      <c r="E17" s="119">
        <v>240</v>
      </c>
      <c r="F17" s="62">
        <v>240</v>
      </c>
      <c r="G17" s="63">
        <v>240</v>
      </c>
      <c r="H17" s="42"/>
    </row>
    <row r="18" spans="1:8" ht="12.75">
      <c r="A18" s="42" t="s">
        <v>31</v>
      </c>
      <c r="B18" s="131">
        <v>3.67</v>
      </c>
      <c r="C18" s="117">
        <v>3.67</v>
      </c>
      <c r="D18" s="42"/>
      <c r="E18" s="42"/>
      <c r="F18" s="42"/>
      <c r="G18" s="42"/>
      <c r="H18" s="42"/>
    </row>
    <row r="19" spans="1:8" ht="12.75">
      <c r="A19" s="54" t="s">
        <v>14</v>
      </c>
      <c r="B19" s="131">
        <v>47</v>
      </c>
      <c r="C19" s="117">
        <v>47</v>
      </c>
      <c r="D19" s="42"/>
      <c r="E19" s="42"/>
      <c r="F19" s="42"/>
      <c r="G19" s="42"/>
      <c r="H19" s="42"/>
    </row>
    <row r="20" spans="1:8" ht="17.25" customHeight="1">
      <c r="A20" s="64" t="str">
        <f>IF(H20&gt;0,"Advantage of Center Pivot Sprinkler over SDI *","Advantage of SDI over Center Pivot Sprinkler *")</f>
        <v>Advantage of SDI over Center Pivot Sprinkler *</v>
      </c>
      <c r="B20" s="65"/>
      <c r="C20" s="65"/>
      <c r="D20" s="66" t="s">
        <v>83</v>
      </c>
      <c r="E20" s="66"/>
      <c r="F20" s="67"/>
      <c r="G20" s="68">
        <f>ABS(H20)</f>
        <v>617.4372727272676</v>
      </c>
      <c r="H20" s="67">
        <f>-1*CPA*((CP*((1/LCP)+(Intr/2)+InsCP))-(CPY*Corn)+CPVC)+(DryCPA*DryNR)+SDIA*((SDI*((1/LSDI)+(Intr/2)+InsSDI))-(SDIY*Corn)+SDIVC+SDIVCDif)-(DrySDIA*DryNR)</f>
        <v>-617.4372727272676</v>
      </c>
    </row>
    <row r="21" spans="1:8" ht="16.5" customHeight="1">
      <c r="A21" s="69" t="s">
        <v>75</v>
      </c>
      <c r="B21" s="65"/>
      <c r="C21" s="65"/>
      <c r="D21" s="70" t="s">
        <v>74</v>
      </c>
      <c r="E21" s="70"/>
      <c r="F21" s="71"/>
      <c r="G21" s="132">
        <f>ABS(H21)</f>
        <v>3.8589829545454224</v>
      </c>
      <c r="H21" s="67">
        <f>G20/B5</f>
        <v>3.8589829545454224</v>
      </c>
    </row>
    <row r="22" spans="1:8" ht="12.75">
      <c r="A22" s="72" t="s">
        <v>73</v>
      </c>
      <c r="B22" s="72"/>
      <c r="C22" s="72"/>
      <c r="D22" s="72"/>
      <c r="E22" s="72"/>
      <c r="F22" s="72"/>
      <c r="G22" s="72"/>
      <c r="H22" s="73"/>
    </row>
    <row r="24" s="1" customFormat="1" ht="15">
      <c r="A24" s="3"/>
    </row>
    <row r="25" spans="1:7" ht="15.75">
      <c r="A25" s="1"/>
      <c r="B25" s="1"/>
      <c r="C25" s="2"/>
      <c r="D25" s="1"/>
      <c r="E25" s="1"/>
      <c r="F25" s="1"/>
      <c r="G25" s="1"/>
    </row>
    <row r="26" spans="1:7" ht="15.75">
      <c r="A26" s="2"/>
      <c r="B26" s="1"/>
      <c r="C26" s="1"/>
      <c r="D26" s="1"/>
      <c r="E26" s="1"/>
      <c r="F26" s="1"/>
      <c r="G26" s="1"/>
    </row>
  </sheetData>
  <sheetProtection sheet="1"/>
  <conditionalFormatting sqref="A20:H21">
    <cfRule type="expression" priority="1" dxfId="3" stopIfTrue="1">
      <formula>$H$20&gt;0</formula>
    </cfRule>
  </conditionalFormatting>
  <printOptions gridLines="1"/>
  <pageMargins left="1" right="1" top="1" bottom="2.8" header="0.5" footer="2.31"/>
  <pageSetup horizontalDpi="600" verticalDpi="600" orientation="landscape" r:id="rId2"/>
  <headerFooter alignWithMargins="0">
    <oddFooter>&amp;L&amp;F Excel file and &amp;A tab&amp;CKansas State University&amp;R&amp;D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1" sqref="H1"/>
    </sheetView>
  </sheetViews>
  <sheetFormatPr defaultColWidth="8.7109375" defaultRowHeight="12.75"/>
  <cols>
    <col min="1" max="1" width="31.421875" style="9" customWidth="1"/>
    <col min="2" max="2" width="6.140625" style="9" customWidth="1"/>
    <col min="3" max="3" width="8.00390625" style="9" customWidth="1"/>
    <col min="4" max="4" width="7.28125" style="9" customWidth="1"/>
    <col min="5" max="5" width="8.421875" style="9" customWidth="1"/>
    <col min="6" max="6" width="7.28125" style="9" customWidth="1"/>
    <col min="7" max="7" width="8.140625" style="9" customWidth="1"/>
    <col min="8" max="8" width="29.8515625" style="9" customWidth="1"/>
    <col min="9" max="16384" width="8.7109375" style="9" customWidth="1"/>
  </cols>
  <sheetData>
    <row r="1" spans="1:8" ht="12.75">
      <c r="A1" s="116" t="str">
        <f>Main!B3</f>
        <v>Version 20.0, modified by F.R. Lamm, D. M. O'Brien, D. H. Rogers, 01-31-20</v>
      </c>
      <c r="B1" s="54"/>
      <c r="C1" s="54"/>
      <c r="D1" s="54"/>
      <c r="E1" s="54"/>
      <c r="F1" s="54"/>
      <c r="G1" s="54"/>
      <c r="H1" s="54"/>
    </row>
    <row r="2" spans="1:8" ht="13.5" customHeight="1">
      <c r="A2" s="4" t="s">
        <v>15</v>
      </c>
      <c r="B2" s="5"/>
      <c r="C2" s="6"/>
      <c r="D2" s="7" t="s">
        <v>4</v>
      </c>
      <c r="E2" s="8" t="s">
        <v>11</v>
      </c>
      <c r="F2" s="7" t="s">
        <v>3</v>
      </c>
      <c r="G2" s="8" t="s">
        <v>11</v>
      </c>
      <c r="H2" s="54"/>
    </row>
    <row r="3" spans="1:8" ht="12.75" customHeight="1">
      <c r="A3" s="5" t="s">
        <v>34</v>
      </c>
      <c r="B3" s="10" t="s">
        <v>29</v>
      </c>
      <c r="C3" s="8" t="s">
        <v>11</v>
      </c>
      <c r="D3" s="11">
        <v>34000</v>
      </c>
      <c r="E3" s="12">
        <v>34000</v>
      </c>
      <c r="F3" s="11">
        <v>34000</v>
      </c>
      <c r="G3" s="12">
        <v>34000</v>
      </c>
      <c r="H3" s="13"/>
    </row>
    <row r="4" spans="1:8" ht="12.75">
      <c r="A4" s="5" t="s">
        <v>18</v>
      </c>
      <c r="B4" s="138">
        <v>3.73</v>
      </c>
      <c r="C4" s="137">
        <v>3.73</v>
      </c>
      <c r="D4" s="14">
        <f>D3*B4/1000</f>
        <v>126.82</v>
      </c>
      <c r="E4" s="14"/>
      <c r="F4" s="14">
        <f>F3*B4/1000</f>
        <v>126.82</v>
      </c>
      <c r="G4" s="14"/>
      <c r="H4" s="13"/>
    </row>
    <row r="5" spans="1:8" ht="12.75">
      <c r="A5" s="5" t="s">
        <v>17</v>
      </c>
      <c r="B5" s="5"/>
      <c r="C5" s="5"/>
      <c r="D5" s="17">
        <v>57.03</v>
      </c>
      <c r="E5" s="16">
        <v>48.95</v>
      </c>
      <c r="F5" s="17">
        <v>57.03</v>
      </c>
      <c r="G5" s="16">
        <v>48.95</v>
      </c>
      <c r="H5" s="5"/>
    </row>
    <row r="6" spans="1:8" ht="12.75">
      <c r="A6" s="5" t="s">
        <v>77</v>
      </c>
      <c r="B6" s="5"/>
      <c r="C6" s="5"/>
      <c r="D6" s="17">
        <v>8.25</v>
      </c>
      <c r="E6" s="16">
        <v>13.59</v>
      </c>
      <c r="F6" s="17">
        <v>8.25</v>
      </c>
      <c r="G6" s="16">
        <v>13.59</v>
      </c>
      <c r="H6" s="5"/>
    </row>
    <row r="7" spans="1:8" ht="3.75" customHeight="1">
      <c r="A7" s="5"/>
      <c r="B7" s="5"/>
      <c r="C7" s="5"/>
      <c r="D7" s="14"/>
      <c r="E7" s="14"/>
      <c r="F7" s="14"/>
      <c r="G7" s="14"/>
      <c r="H7" s="5"/>
    </row>
    <row r="8" spans="1:8" ht="12.75" customHeight="1">
      <c r="A8" s="5" t="s">
        <v>35</v>
      </c>
      <c r="B8" s="18" t="s">
        <v>26</v>
      </c>
      <c r="C8" s="8" t="s">
        <v>11</v>
      </c>
      <c r="D8" s="11">
        <v>450</v>
      </c>
      <c r="E8" s="12">
        <v>240</v>
      </c>
      <c r="F8" s="11">
        <v>450</v>
      </c>
      <c r="G8" s="12">
        <v>240</v>
      </c>
      <c r="H8" s="141" t="s">
        <v>88</v>
      </c>
    </row>
    <row r="9" spans="1:13" ht="12.75">
      <c r="A9" s="5" t="s">
        <v>27</v>
      </c>
      <c r="B9" s="140">
        <v>0.15</v>
      </c>
      <c r="C9" s="137">
        <v>0.15</v>
      </c>
      <c r="D9" s="14">
        <f>B9*D8</f>
        <v>67.5</v>
      </c>
      <c r="E9" s="14"/>
      <c r="F9" s="14">
        <f>B9*F8</f>
        <v>67.5</v>
      </c>
      <c r="G9" s="14"/>
      <c r="H9" s="142"/>
      <c r="L9" s="40"/>
      <c r="M9" s="40"/>
    </row>
    <row r="10" spans="1:13" ht="12.75">
      <c r="A10" s="5" t="s">
        <v>36</v>
      </c>
      <c r="B10" s="18" t="s">
        <v>26</v>
      </c>
      <c r="C10" s="139" t="s">
        <v>11</v>
      </c>
      <c r="D10" s="11">
        <v>184</v>
      </c>
      <c r="E10" s="12">
        <v>50</v>
      </c>
      <c r="F10" s="11">
        <v>184</v>
      </c>
      <c r="G10" s="12">
        <v>50</v>
      </c>
      <c r="H10" s="141" t="s">
        <v>89</v>
      </c>
      <c r="L10" s="40"/>
      <c r="M10" s="40"/>
    </row>
    <row r="11" spans="1:13" ht="12.75">
      <c r="A11" s="5" t="s">
        <v>28</v>
      </c>
      <c r="B11" s="140">
        <v>0.2</v>
      </c>
      <c r="C11" s="137">
        <v>0.2</v>
      </c>
      <c r="D11" s="14">
        <f>B11*D10</f>
        <v>36.800000000000004</v>
      </c>
      <c r="E11" s="14"/>
      <c r="F11" s="14">
        <f>B11*F10</f>
        <v>36.800000000000004</v>
      </c>
      <c r="G11" s="14"/>
      <c r="H11" s="142"/>
      <c r="L11" s="40"/>
      <c r="M11" s="40"/>
    </row>
    <row r="12" spans="1:13" ht="3.75" customHeight="1">
      <c r="A12" s="5"/>
      <c r="B12" s="20"/>
      <c r="C12" s="20"/>
      <c r="D12" s="14"/>
      <c r="E12" s="14"/>
      <c r="F12" s="14"/>
      <c r="G12" s="14"/>
      <c r="H12" s="13"/>
      <c r="L12" s="40"/>
      <c r="M12" s="40"/>
    </row>
    <row r="13" spans="1:13" ht="12.75">
      <c r="A13" s="5" t="s">
        <v>19</v>
      </c>
      <c r="B13" s="5"/>
      <c r="C13" s="5"/>
      <c r="D13" s="15">
        <v>6.5</v>
      </c>
      <c r="E13" s="16">
        <v>6.5</v>
      </c>
      <c r="F13" s="15">
        <v>6.5</v>
      </c>
      <c r="G13" s="16">
        <v>6.5</v>
      </c>
      <c r="H13" s="21"/>
      <c r="L13" s="40"/>
      <c r="M13" s="40"/>
    </row>
    <row r="14" spans="1:13" ht="12.75">
      <c r="A14" s="5" t="s">
        <v>20</v>
      </c>
      <c r="B14" s="5"/>
      <c r="C14" s="5"/>
      <c r="D14" s="15">
        <v>29.84</v>
      </c>
      <c r="E14" s="16">
        <v>29.84</v>
      </c>
      <c r="F14" s="17">
        <v>29.84</v>
      </c>
      <c r="G14" s="16">
        <v>29.84</v>
      </c>
      <c r="H14" s="21"/>
      <c r="L14" s="40"/>
      <c r="M14" s="40"/>
    </row>
    <row r="15" spans="1:13" ht="12.75">
      <c r="A15" s="5" t="s">
        <v>21</v>
      </c>
      <c r="B15" s="5"/>
      <c r="C15" s="5"/>
      <c r="D15" s="17">
        <v>0</v>
      </c>
      <c r="E15" s="22">
        <v>0</v>
      </c>
      <c r="F15" s="17">
        <v>0</v>
      </c>
      <c r="G15" s="16">
        <v>0</v>
      </c>
      <c r="H15" s="5"/>
      <c r="L15" s="40"/>
      <c r="M15" s="143"/>
    </row>
    <row r="16" spans="1:8" ht="12.75">
      <c r="A16" s="5" t="s">
        <v>22</v>
      </c>
      <c r="B16" s="5"/>
      <c r="C16" s="5"/>
      <c r="D16" s="17">
        <v>0</v>
      </c>
      <c r="E16" s="22">
        <v>0</v>
      </c>
      <c r="F16" s="17">
        <v>0</v>
      </c>
      <c r="G16" s="16">
        <v>0</v>
      </c>
      <c r="H16" s="21"/>
    </row>
    <row r="17" spans="1:8" ht="12.75">
      <c r="A17" s="5" t="s">
        <v>23</v>
      </c>
      <c r="B17" s="5"/>
      <c r="C17" s="5"/>
      <c r="D17" s="17">
        <v>163.45</v>
      </c>
      <c r="E17" s="16">
        <v>163.45</v>
      </c>
      <c r="F17" s="17">
        <v>163.45</v>
      </c>
      <c r="G17" s="16">
        <v>171.11</v>
      </c>
      <c r="H17" s="23" t="s">
        <v>90</v>
      </c>
    </row>
    <row r="18" spans="1:8" ht="12.75">
      <c r="A18" s="5" t="s">
        <v>32</v>
      </c>
      <c r="B18" s="5"/>
      <c r="C18" s="5"/>
      <c r="D18" s="15">
        <v>0</v>
      </c>
      <c r="E18" s="22">
        <v>0</v>
      </c>
      <c r="F18" s="15">
        <v>0</v>
      </c>
      <c r="G18" s="16">
        <v>0</v>
      </c>
      <c r="H18" s="19" t="s">
        <v>39</v>
      </c>
    </row>
    <row r="19" spans="1:8" ht="12.75">
      <c r="A19" s="5" t="s">
        <v>24</v>
      </c>
      <c r="B19" s="5"/>
      <c r="C19" s="5"/>
      <c r="D19" s="17">
        <v>15</v>
      </c>
      <c r="E19" s="16">
        <v>15</v>
      </c>
      <c r="F19" s="17">
        <v>15</v>
      </c>
      <c r="G19" s="16">
        <v>15</v>
      </c>
      <c r="H19" s="19"/>
    </row>
    <row r="20" spans="1:8" ht="3.75" customHeight="1">
      <c r="A20" s="5"/>
      <c r="B20" s="5"/>
      <c r="C20" s="5"/>
      <c r="D20" s="24"/>
      <c r="E20" s="25"/>
      <c r="F20" s="24"/>
      <c r="G20" s="25"/>
      <c r="H20" s="26"/>
    </row>
    <row r="21" spans="1:8" ht="12.75">
      <c r="A21" s="5" t="s">
        <v>25</v>
      </c>
      <c r="B21" s="5"/>
      <c r="C21" s="5"/>
      <c r="D21" s="27">
        <v>16</v>
      </c>
      <c r="E21" s="28">
        <v>16</v>
      </c>
      <c r="F21" s="27">
        <v>12</v>
      </c>
      <c r="G21" s="28">
        <v>12</v>
      </c>
      <c r="H21" s="19" t="s">
        <v>40</v>
      </c>
    </row>
    <row r="22" spans="1:8" ht="12.75" customHeight="1">
      <c r="A22" s="5" t="s">
        <v>41</v>
      </c>
      <c r="B22" s="29"/>
      <c r="C22" s="29"/>
      <c r="D22" s="17">
        <v>3.21</v>
      </c>
      <c r="E22" s="16">
        <v>3.21</v>
      </c>
      <c r="F22" s="17">
        <v>3.21</v>
      </c>
      <c r="G22" s="16">
        <v>3.21</v>
      </c>
      <c r="H22" s="19" t="s">
        <v>38</v>
      </c>
    </row>
    <row r="23" spans="1:8" ht="12.75" customHeight="1">
      <c r="A23" s="5" t="s">
        <v>42</v>
      </c>
      <c r="B23" s="14"/>
      <c r="C23" s="14"/>
      <c r="D23" s="30">
        <f>D21*D22</f>
        <v>51.36</v>
      </c>
      <c r="E23" s="30"/>
      <c r="F23" s="31">
        <f>F22*F21</f>
        <v>38.519999999999996</v>
      </c>
      <c r="G23" s="30"/>
      <c r="H23" s="5"/>
    </row>
    <row r="24" spans="1:8" ht="12.75" customHeight="1">
      <c r="A24" s="5" t="s">
        <v>85</v>
      </c>
      <c r="B24" s="14"/>
      <c r="C24" s="14"/>
      <c r="D24" s="15">
        <v>0.6</v>
      </c>
      <c r="E24" s="16">
        <v>0.6</v>
      </c>
      <c r="F24" s="17">
        <v>0.6</v>
      </c>
      <c r="G24" s="16">
        <v>0.6</v>
      </c>
      <c r="H24" s="21"/>
    </row>
    <row r="25" spans="1:8" ht="12.75" customHeight="1">
      <c r="A25" s="5" t="s">
        <v>86</v>
      </c>
      <c r="B25" s="14"/>
      <c r="C25" s="8" t="s">
        <v>11</v>
      </c>
      <c r="D25" s="31">
        <f>D24*D21</f>
        <v>9.6</v>
      </c>
      <c r="E25" s="31"/>
      <c r="F25" s="31">
        <f>F24*F21</f>
        <v>7.199999999999999</v>
      </c>
      <c r="G25" s="5"/>
      <c r="H25" s="32"/>
    </row>
    <row r="26" spans="1:8" ht="3.75" customHeight="1">
      <c r="A26" s="5"/>
      <c r="B26" s="5"/>
      <c r="C26" s="5"/>
      <c r="D26" s="5"/>
      <c r="E26" s="5"/>
      <c r="F26" s="5"/>
      <c r="G26" s="5"/>
      <c r="H26" s="5"/>
    </row>
    <row r="27" spans="1:8" ht="12.75">
      <c r="A27" s="5" t="s">
        <v>78</v>
      </c>
      <c r="B27" s="33">
        <v>0.06</v>
      </c>
      <c r="C27" s="34">
        <v>0.06</v>
      </c>
      <c r="D27" s="35">
        <f>1/2*IntrVC*(SUM(D4:D6,D9,D11,D13:D18,D19,D23,D25))</f>
        <v>17.1645</v>
      </c>
      <c r="E27" s="35"/>
      <c r="F27" s="35">
        <f>1/2*IntrVC*(SUM(F4:F6,F9,F11,F13:F18,F19,F23,F25))</f>
        <v>16.707300000000004</v>
      </c>
      <c r="G27" s="5"/>
      <c r="H27" s="5"/>
    </row>
    <row r="28" spans="1:8" ht="3.75" customHeight="1">
      <c r="A28" s="5"/>
      <c r="B28" s="5"/>
      <c r="C28" s="5"/>
      <c r="D28" s="5"/>
      <c r="E28" s="5"/>
      <c r="F28" s="5"/>
      <c r="G28" s="5"/>
      <c r="H28" s="5"/>
    </row>
    <row r="29" spans="1:8" ht="12.75">
      <c r="A29" s="36" t="s">
        <v>16</v>
      </c>
      <c r="B29" s="37"/>
      <c r="C29" s="37"/>
      <c r="D29" s="38">
        <f>SUM(D4:D6,D9,D11,D13:D18,D19,D23,D25,D27)</f>
        <v>589.3145</v>
      </c>
      <c r="E29" s="38"/>
      <c r="F29" s="38">
        <f>SUM(F4:F6,F9,F11,F13:F18,F19,F23,F25,F27)</f>
        <v>573.6173000000001</v>
      </c>
      <c r="G29" s="39" t="s">
        <v>79</v>
      </c>
      <c r="H29" s="37"/>
    </row>
    <row r="30" ht="12.75">
      <c r="H30" s="40"/>
    </row>
  </sheetData>
  <sheetProtection sheet="1"/>
  <mergeCells count="2">
    <mergeCell ref="H8:H9"/>
    <mergeCell ref="H10:H11"/>
  </mergeCells>
  <printOptions gridLines="1"/>
  <pageMargins left="0.75" right="0.75" top="1" bottom="2.74" header="0.5" footer="2.43"/>
  <pageSetup horizontalDpi="600" verticalDpi="600" orientation="landscape" r:id="rId2"/>
  <headerFooter alignWithMargins="0">
    <oddFooter xml:space="preserve">&amp;L&amp;F Excel file and &amp;A tab&amp;CKansas State University&amp;R&amp;D   &amp;T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3">
      <selection activeCell="A1" sqref="A1:I33"/>
    </sheetView>
  </sheetViews>
  <sheetFormatPr defaultColWidth="8.7109375" defaultRowHeight="12.75"/>
  <cols>
    <col min="1" max="1" width="8.7109375" style="9" customWidth="1"/>
    <col min="2" max="7" width="9.57421875" style="9" customWidth="1"/>
    <col min="8" max="9" width="9.421875" style="9" customWidth="1"/>
    <col min="10" max="16384" width="8.7109375" style="9" customWidth="1"/>
  </cols>
  <sheetData>
    <row r="1" spans="1:9" ht="15">
      <c r="A1" s="74" t="s">
        <v>60</v>
      </c>
      <c r="B1" s="75"/>
      <c r="C1" s="75"/>
      <c r="D1" s="75"/>
      <c r="E1" s="75"/>
      <c r="F1" s="75"/>
      <c r="G1" s="75"/>
      <c r="H1" s="75"/>
      <c r="I1" s="76"/>
    </row>
    <row r="2" spans="1:9" ht="15">
      <c r="A2" s="74" t="s">
        <v>59</v>
      </c>
      <c r="B2" s="77"/>
      <c r="C2" s="77"/>
      <c r="D2" s="77"/>
      <c r="E2" s="77"/>
      <c r="F2" s="77"/>
      <c r="G2" s="77"/>
      <c r="H2" s="77"/>
      <c r="I2" s="42"/>
    </row>
    <row r="3" spans="1:9" ht="15">
      <c r="A3" s="78" t="s">
        <v>76</v>
      </c>
      <c r="B3" s="77"/>
      <c r="C3" s="77"/>
      <c r="D3" s="77"/>
      <c r="E3" s="77"/>
      <c r="F3" s="77"/>
      <c r="G3" s="77"/>
      <c r="H3" s="77"/>
      <c r="I3" s="42"/>
    </row>
    <row r="4" spans="1:9" ht="12.75" customHeight="1">
      <c r="A4" s="79" t="s">
        <v>70</v>
      </c>
      <c r="B4" s="42">
        <v>160</v>
      </c>
      <c r="C4" s="42">
        <v>127</v>
      </c>
      <c r="D4" s="42">
        <v>95</v>
      </c>
      <c r="E4" s="42">
        <v>64</v>
      </c>
      <c r="F4" s="42">
        <v>32</v>
      </c>
      <c r="G4" s="80">
        <v>80</v>
      </c>
      <c r="H4" s="77"/>
      <c r="I4" s="42"/>
    </row>
    <row r="5" spans="1:9" ht="12.75" customHeight="1">
      <c r="A5" s="79" t="s">
        <v>64</v>
      </c>
      <c r="B5" s="42">
        <v>125</v>
      </c>
      <c r="C5" s="42">
        <v>100</v>
      </c>
      <c r="D5" s="42">
        <v>75</v>
      </c>
      <c r="E5" s="42">
        <v>50</v>
      </c>
      <c r="F5" s="42">
        <v>25</v>
      </c>
      <c r="G5" s="81">
        <v>64</v>
      </c>
      <c r="H5" s="82" t="s">
        <v>63</v>
      </c>
      <c r="I5" s="83" t="s">
        <v>71</v>
      </c>
    </row>
    <row r="6" spans="1:9" ht="12.75" customHeight="1">
      <c r="A6" s="79" t="s">
        <v>65</v>
      </c>
      <c r="B6" s="84">
        <f>CP</f>
        <v>712.08</v>
      </c>
      <c r="C6" s="84">
        <f>((44.4+(0.837*(100*C5/$B$5))-(0.00282*(100*C5/$B$5)^2))/100)*($B$5*$B$6)/C5</f>
        <v>830.5701119999998</v>
      </c>
      <c r="D6" s="84">
        <f>((44.4+(0.837*(100*D5/$B$5))-(0.00282*(100*D5/$B$5)^2))/100)*($B$5*$B$6)/D5</f>
        <v>1002.4662239999999</v>
      </c>
      <c r="E6" s="84">
        <f>((44.4+(0.837*(100*E5/$B$5))-(0.00282*(100*E5/$B$5)^2))/100)*($B$5*$B$6)/E5</f>
        <v>1306.097136</v>
      </c>
      <c r="F6" s="84">
        <f>((44.4+(0.837*(100*F5/$B$5))-(0.00282*(100*F5/$B$5)^2))/100)*($B$5*$B$6)/F5</f>
        <v>2136.6672479999997</v>
      </c>
      <c r="G6" s="85">
        <f>($B$5*$B$6)/G5</f>
        <v>1390.78125</v>
      </c>
      <c r="H6" s="86"/>
      <c r="I6" s="42"/>
    </row>
    <row r="7" spans="1:9" ht="12.75" customHeight="1">
      <c r="A7" s="79" t="s">
        <v>68</v>
      </c>
      <c r="B7" s="87">
        <v>30</v>
      </c>
      <c r="C7" s="87">
        <v>24</v>
      </c>
      <c r="D7" s="87">
        <v>18</v>
      </c>
      <c r="E7" s="87">
        <v>12</v>
      </c>
      <c r="F7" s="87">
        <v>6</v>
      </c>
      <c r="G7" s="88">
        <v>14</v>
      </c>
      <c r="H7" s="86"/>
      <c r="I7" s="42"/>
    </row>
    <row r="8" spans="1:9" ht="12.75" customHeight="1">
      <c r="A8" s="79" t="s">
        <v>66</v>
      </c>
      <c r="B8" s="42">
        <v>155</v>
      </c>
      <c r="C8" s="42">
        <v>124</v>
      </c>
      <c r="D8" s="42">
        <v>93</v>
      </c>
      <c r="E8" s="42">
        <v>62</v>
      </c>
      <c r="F8" s="42">
        <v>31</v>
      </c>
      <c r="G8" s="42">
        <v>78</v>
      </c>
      <c r="H8" s="77"/>
      <c r="I8" s="42"/>
    </row>
    <row r="9" spans="1:9" ht="12.75" customHeight="1">
      <c r="A9" s="79" t="s">
        <v>54</v>
      </c>
      <c r="B9" s="84">
        <f>SDI</f>
        <v>1330.967741935484</v>
      </c>
      <c r="C9" s="84">
        <f>((2.9+(1.034*(100*C8/$B$8))-(0.0006*(100*C8/$B$8)^2))/100)*($B$8*$B$9)/C8</f>
        <v>1360.5817741935482</v>
      </c>
      <c r="D9" s="84">
        <f>((2.9+(1.034*(100*D8/$B$8))-(0.0006*(100*D8/$B$8)^2))/100)*($B$8*$B$9)/D8</f>
        <v>1392.6359139784947</v>
      </c>
      <c r="E9" s="84">
        <f>((2.9+(1.034*(100*E8/$B$8))-(0.0006*(100*E8/$B$8)^2))/100)*($B$8*$B$9)/E8</f>
        <v>1440.7725806451613</v>
      </c>
      <c r="F9" s="84">
        <f>((2.9+(1.034*(100*F8/$B$8))-(0.0006*(100*F8/$B$8)^2))/100)*($B$8*$B$9)/F8</f>
        <v>1553.2393548387097</v>
      </c>
      <c r="G9" s="84">
        <f>((2.9+(1.034*(100*G8/$B$8))-(0.0006*(100*G8/$B$8)^2))/100)*($B$8*$B$9)/G8</f>
        <v>1412.7352882947782</v>
      </c>
      <c r="H9" s="77"/>
      <c r="I9" s="42"/>
    </row>
    <row r="10" spans="1:10" ht="12.75" customHeight="1">
      <c r="A10" s="45" t="s">
        <v>61</v>
      </c>
      <c r="B10" s="42"/>
      <c r="C10" s="89" t="s">
        <v>69</v>
      </c>
      <c r="D10" s="89"/>
      <c r="E10" s="89"/>
      <c r="F10" s="89"/>
      <c r="G10" s="89"/>
      <c r="H10" s="89"/>
      <c r="I10" s="89"/>
      <c r="J10" s="90"/>
    </row>
    <row r="11" spans="1:9" ht="12.75">
      <c r="A11" s="45" t="s">
        <v>62</v>
      </c>
      <c r="B11" s="91"/>
      <c r="C11" s="92" t="s">
        <v>67</v>
      </c>
      <c r="D11" s="92"/>
      <c r="E11" s="92"/>
      <c r="F11" s="92"/>
      <c r="G11" s="92"/>
      <c r="H11" s="92"/>
      <c r="I11" s="93"/>
    </row>
    <row r="12" spans="1:9" ht="15">
      <c r="A12" s="45">
        <v>5</v>
      </c>
      <c r="B12" s="94">
        <f>(-1*CPAS*((CPS*((1/LCP)+(Intr/2)+InsCP))-(CPY*Corn)+CPVC)+(CPDryS*DryNR)+SDIAS*((SDICSS*((1/SDILSS)+(Intr/2)+InsSDI))-(SDIY*Corn)+SDIVC+SDIVCDif)-(DrySDIA*DryNR))/Fareas</f>
        <v>195.40806250000009</v>
      </c>
      <c r="C12" s="94">
        <f aca="true" t="shared" si="0" ref="C12:G16">(-1*CPAS*((CPS*((1/LCP)+(Intr/2)+InsCP))-(CPY*Corn)+CPVC)+(CPDryS*DryNR)+SDIAS*((SDICSS*((1/SDILSS)+(Intr/2)+InsSDI))-(SDIY*Corn)+SDIVC+SDIVCDif)-(DrySDIA*DryNR))/Fareas</f>
        <v>195.7467880062992</v>
      </c>
      <c r="D12" s="94">
        <f t="shared" si="0"/>
        <v>191.9965883705264</v>
      </c>
      <c r="E12" s="94">
        <f t="shared" si="0"/>
        <v>180.60166742500007</v>
      </c>
      <c r="F12" s="94">
        <f t="shared" si="0"/>
        <v>150.51045427500014</v>
      </c>
      <c r="G12" s="94">
        <f t="shared" si="0"/>
        <v>171.30113983662858</v>
      </c>
      <c r="H12" s="95"/>
      <c r="I12" s="42"/>
    </row>
    <row r="13" spans="1:9" ht="15">
      <c r="A13" s="45">
        <v>10</v>
      </c>
      <c r="B13" s="94">
        <f>(-1*CPAS*((CPS*((1/LCP)+(Intr/2)+InsCP))-(CPY*Corn)+CPVC)+(CPDryS*DryNR)+SDIAS*((SDICSS*((1/SDILSS)+(Intr/2)+InsSDI))-(SDIY*Corn)+SDIVC+SDIVCDif)-(DrySDIA*DryNR))/Fareas</f>
        <v>66.47056250000006</v>
      </c>
      <c r="C13" s="94">
        <f t="shared" si="0"/>
        <v>62.902583281889775</v>
      </c>
      <c r="D13" s="94">
        <f t="shared" si="0"/>
        <v>55.66486205473693</v>
      </c>
      <c r="E13" s="94">
        <f t="shared" si="0"/>
        <v>41.02682367500003</v>
      </c>
      <c r="F13" s="94">
        <f t="shared" si="0"/>
        <v>0.04039177500015967</v>
      </c>
      <c r="G13" s="94">
        <f t="shared" si="0"/>
        <v>33.55944922788765</v>
      </c>
      <c r="H13" s="95"/>
      <c r="I13" s="42"/>
    </row>
    <row r="14" spans="1:9" ht="15">
      <c r="A14" s="45">
        <v>15</v>
      </c>
      <c r="B14" s="94">
        <f>(-1*CPAS*((CPS*((1/LCP)+(Intr/2)+InsCP))-(CPY*Corn)+CPVC)+(CPDryS*DryNR)+SDIAS*((SDICSS*((1/SDILSS)+(Intr/2)+InsSDI))-(SDIY*Corn)+SDIVC+SDIVCDif)-(DrySDIA*DryNR))/Fareas</f>
        <v>23.491395833333378</v>
      </c>
      <c r="C14" s="94">
        <f t="shared" si="0"/>
        <v>18.621181707086603</v>
      </c>
      <c r="D14" s="94">
        <f t="shared" si="0"/>
        <v>10.22095328280708</v>
      </c>
      <c r="E14" s="94">
        <f t="shared" si="0"/>
        <v>-5.498124241666602</v>
      </c>
      <c r="F14" s="94">
        <f t="shared" si="0"/>
        <v>-50.116295724999844</v>
      </c>
      <c r="G14" s="94">
        <f t="shared" si="0"/>
        <v>-12.354447641692696</v>
      </c>
      <c r="H14" s="95"/>
      <c r="I14" s="42"/>
    </row>
    <row r="15" spans="1:9" ht="15">
      <c r="A15" s="45">
        <v>20</v>
      </c>
      <c r="B15" s="94">
        <f>(-1*CPAS*((CPS*((1/LCP)+(Intr/2)+InsCP))-(CPY*Corn)+CPVC)+(CPDryS*DryNR)+SDIAS*((SDICSS*((1/SDILSS)+(Intr/2)+InsSDI))-(SDIY*Corn)+SDIVC+SDIVCDif)-(DrySDIA*DryNR))/Fareas</f>
        <v>2.0018125000000966</v>
      </c>
      <c r="C15" s="94">
        <f t="shared" si="0"/>
        <v>-3.519519080314877</v>
      </c>
      <c r="D15" s="94">
        <f t="shared" si="0"/>
        <v>-12.501001103157824</v>
      </c>
      <c r="E15" s="94">
        <f t="shared" si="0"/>
        <v>-28.760598200000004</v>
      </c>
      <c r="F15" s="94">
        <f t="shared" si="0"/>
        <v>-75.19463947499989</v>
      </c>
      <c r="G15" s="94">
        <f t="shared" si="0"/>
        <v>-35.311396076482765</v>
      </c>
      <c r="H15" s="95"/>
      <c r="I15" s="42"/>
    </row>
    <row r="16" spans="1:9" ht="15">
      <c r="A16" s="45">
        <v>25</v>
      </c>
      <c r="B16" s="94">
        <f>(-1*CPAS*((CPS*((1/LCP)+(Intr/2)+InsCP))-(CPY*Corn)+CPVC)+(CPDryS*DryNR)+SDIAS*((SDICSS*((1/SDILSS)+(Intr/2)+InsSDI))-(SDIY*Corn)+SDIVC+SDIVCDif)-(DrySDIA*DryNR))/Fareas</f>
        <v>-10.89193749999995</v>
      </c>
      <c r="C16" s="94">
        <f t="shared" si="0"/>
        <v>-16.803939552755878</v>
      </c>
      <c r="D16" s="94">
        <f t="shared" si="0"/>
        <v>-26.134173734736798</v>
      </c>
      <c r="E16" s="94">
        <f t="shared" si="0"/>
        <v>-42.71808257499998</v>
      </c>
      <c r="F16" s="94">
        <f t="shared" si="0"/>
        <v>-90.24164572499987</v>
      </c>
      <c r="G16" s="94">
        <f t="shared" si="0"/>
        <v>-49.085565137356845</v>
      </c>
      <c r="H16" s="95"/>
      <c r="I16" s="42"/>
    </row>
    <row r="17" spans="1:9" ht="15">
      <c r="A17" s="45"/>
      <c r="B17" s="96" t="e">
        <f aca="true" t="shared" si="1" ref="B17:G17">(-1*CPA*((CP*((1/LCP)+(Intr/2)+InsCP))-(CPY*Corn)+CPVC)+(DryCPA*DryNR)+SDIA*((SDICS*((1/SDILS)+(Intr/2)+InsSDI))-(SDIY*Corn)+SDIVC+SDIVCDif)-(DrySDIA*DryNR))/Farea</f>
        <v>#VALUE!</v>
      </c>
      <c r="C17" s="96" t="e">
        <f t="shared" si="1"/>
        <v>#VALUE!</v>
      </c>
      <c r="D17" s="96" t="e">
        <f t="shared" si="1"/>
        <v>#VALUE!</v>
      </c>
      <c r="E17" s="96" t="e">
        <f t="shared" si="1"/>
        <v>#VALUE!</v>
      </c>
      <c r="F17" s="96" t="e">
        <f t="shared" si="1"/>
        <v>#VALUE!</v>
      </c>
      <c r="G17" s="96" t="e">
        <f t="shared" si="1"/>
        <v>#VALUE!</v>
      </c>
      <c r="H17" s="97"/>
      <c r="I17" s="42"/>
    </row>
    <row r="18" spans="1:9" ht="12.75">
      <c r="A18" s="45"/>
      <c r="B18" s="97"/>
      <c r="C18" s="97"/>
      <c r="D18" s="97"/>
      <c r="E18" s="97"/>
      <c r="F18" s="97"/>
      <c r="G18" s="97"/>
      <c r="H18" s="97"/>
      <c r="I18" s="42"/>
    </row>
    <row r="19" spans="1:9" ht="12.75">
      <c r="A19" s="45"/>
      <c r="B19" s="97"/>
      <c r="C19" s="97"/>
      <c r="D19" s="97"/>
      <c r="E19" s="97"/>
      <c r="F19" s="97"/>
      <c r="G19" s="97"/>
      <c r="H19" s="97"/>
      <c r="I19" s="42"/>
    </row>
    <row r="20" spans="1:9" ht="12.75">
      <c r="A20" s="45"/>
      <c r="B20" s="97"/>
      <c r="C20" s="97"/>
      <c r="D20" s="97"/>
      <c r="E20" s="97"/>
      <c r="F20" s="97"/>
      <c r="G20" s="97"/>
      <c r="H20" s="97"/>
      <c r="I20" s="42"/>
    </row>
    <row r="21" spans="1:9" ht="12.75">
      <c r="A21" s="45"/>
      <c r="B21" s="97"/>
      <c r="C21" s="97"/>
      <c r="D21" s="97"/>
      <c r="E21" s="97"/>
      <c r="F21" s="97"/>
      <c r="G21" s="97"/>
      <c r="H21" s="97"/>
      <c r="I21" s="42"/>
    </row>
    <row r="22" spans="1:9" ht="12.75">
      <c r="A22" s="45"/>
      <c r="B22" s="97"/>
      <c r="C22" s="97"/>
      <c r="D22" s="97"/>
      <c r="E22" s="97"/>
      <c r="F22" s="97"/>
      <c r="G22" s="97"/>
      <c r="H22" s="97"/>
      <c r="I22" s="42"/>
    </row>
    <row r="23" spans="1:9" ht="12.75">
      <c r="A23" s="42"/>
      <c r="B23" s="98"/>
      <c r="C23" s="98"/>
      <c r="D23" s="98"/>
      <c r="E23" s="98"/>
      <c r="F23" s="98"/>
      <c r="G23" s="98"/>
      <c r="H23" s="42"/>
      <c r="I23" s="42"/>
    </row>
    <row r="24" spans="1:9" ht="12.7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2.7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12.75">
      <c r="A26" s="42"/>
      <c r="B26" s="42"/>
      <c r="C26" s="42"/>
      <c r="D26" s="42"/>
      <c r="E26" s="42"/>
      <c r="F26" s="42"/>
      <c r="G26" s="42"/>
      <c r="H26" s="42"/>
      <c r="I26" s="42"/>
    </row>
    <row r="27" spans="1:9" ht="12.7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  <row r="29" spans="1:9" ht="12.75">
      <c r="A29" s="42"/>
      <c r="B29" s="42"/>
      <c r="C29" s="42"/>
      <c r="D29" s="42"/>
      <c r="E29" s="42"/>
      <c r="F29" s="42"/>
      <c r="G29" s="42"/>
      <c r="H29" s="42"/>
      <c r="I29" s="42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9" ht="12.75">
      <c r="A31" s="42"/>
      <c r="B31" s="42"/>
      <c r="C31" s="42"/>
      <c r="D31" s="42"/>
      <c r="E31" s="42"/>
      <c r="F31" s="42"/>
      <c r="G31" s="42"/>
      <c r="H31" s="42"/>
      <c r="I31" s="42"/>
    </row>
    <row r="32" spans="1:9" ht="12.75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  <row r="34" spans="1:9" ht="12.75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18.75">
      <c r="A35" s="99" t="s">
        <v>49</v>
      </c>
      <c r="B35" s="5"/>
      <c r="C35" s="5"/>
      <c r="D35" s="5"/>
      <c r="E35" s="5"/>
      <c r="F35" s="5"/>
      <c r="G35" s="5"/>
      <c r="H35" s="5"/>
      <c r="I35" s="5"/>
    </row>
    <row r="36" spans="1:9" s="102" customFormat="1" ht="11.25">
      <c r="A36" s="100" t="s">
        <v>50</v>
      </c>
      <c r="B36" s="13"/>
      <c r="C36" s="13"/>
      <c r="D36" s="13"/>
      <c r="E36" s="13"/>
      <c r="F36" s="13"/>
      <c r="G36" s="101"/>
      <c r="H36" s="101"/>
      <c r="I36" s="101"/>
    </row>
    <row r="37" spans="1:9" s="102" customFormat="1" ht="11.25">
      <c r="A37" s="100" t="s">
        <v>51</v>
      </c>
      <c r="B37" s="13"/>
      <c r="C37" s="13"/>
      <c r="D37" s="13"/>
      <c r="E37" s="13"/>
      <c r="F37" s="13"/>
      <c r="G37" s="101"/>
      <c r="H37" s="101"/>
      <c r="I37" s="101"/>
    </row>
    <row r="38" spans="1:9" ht="12.75">
      <c r="A38" s="103" t="s">
        <v>1</v>
      </c>
      <c r="B38" s="5"/>
      <c r="C38" s="5"/>
      <c r="D38" s="5"/>
      <c r="E38" s="5"/>
      <c r="F38" s="104" t="s">
        <v>2</v>
      </c>
      <c r="G38" s="104" t="s">
        <v>4</v>
      </c>
      <c r="H38" s="104" t="s">
        <v>3</v>
      </c>
      <c r="I38" s="5"/>
    </row>
    <row r="39" spans="1:9" ht="12.75">
      <c r="A39" s="5" t="s">
        <v>47</v>
      </c>
      <c r="B39" s="5"/>
      <c r="C39" s="5"/>
      <c r="D39" s="5"/>
      <c r="E39" s="29"/>
      <c r="F39" s="105">
        <f>Farea</f>
        <v>160</v>
      </c>
      <c r="G39" s="105">
        <f>CPA</f>
        <v>125</v>
      </c>
      <c r="H39" s="105">
        <f>SDIA</f>
        <v>155</v>
      </c>
      <c r="I39" s="106" t="s">
        <v>72</v>
      </c>
    </row>
    <row r="40" spans="1:9" ht="12.75">
      <c r="A40" s="5" t="s">
        <v>80</v>
      </c>
      <c r="B40" s="5"/>
      <c r="C40" s="5"/>
      <c r="D40" s="5"/>
      <c r="E40" s="29"/>
      <c r="F40" s="105">
        <f>NCA</f>
        <v>5</v>
      </c>
      <c r="G40" s="107" t="str">
        <f>IF(MIN(F39-CPA,F39-SDIA,F39-F40,F39-(CPA-F40),F39-(SDIA+F40))&lt;0,"Error! Total field area must be greater than other areas"," ")</f>
        <v> </v>
      </c>
      <c r="H40" s="105"/>
      <c r="I40" s="106" t="s">
        <v>72</v>
      </c>
    </row>
    <row r="41" spans="1:9" ht="12.75">
      <c r="A41" s="5" t="s">
        <v>84</v>
      </c>
      <c r="B41" s="5"/>
      <c r="C41" s="5"/>
      <c r="D41" s="5"/>
      <c r="E41" s="29"/>
      <c r="F41" s="105"/>
      <c r="G41" s="105">
        <f>F39-F40-G39</f>
        <v>30</v>
      </c>
      <c r="H41" s="105">
        <f>F39-F40-H39</f>
        <v>0</v>
      </c>
      <c r="I41" s="106" t="s">
        <v>72</v>
      </c>
    </row>
    <row r="42" spans="1:9" ht="12.75">
      <c r="A42" s="5" t="s">
        <v>6</v>
      </c>
      <c r="B42" s="5"/>
      <c r="C42" s="5"/>
      <c r="D42" s="5"/>
      <c r="E42" s="5"/>
      <c r="F42" s="105"/>
      <c r="G42" s="108">
        <f>CPTC</f>
        <v>89010</v>
      </c>
      <c r="H42" s="108">
        <f>SDITC</f>
        <v>206300</v>
      </c>
      <c r="I42" s="5"/>
    </row>
    <row r="43" spans="1:9" ht="12.75">
      <c r="A43" s="5" t="s">
        <v>12</v>
      </c>
      <c r="B43" s="5"/>
      <c r="C43" s="5"/>
      <c r="D43" s="5"/>
      <c r="E43" s="5"/>
      <c r="F43" s="105"/>
      <c r="G43" s="108">
        <f>G42/G39</f>
        <v>712.08</v>
      </c>
      <c r="H43" s="108">
        <f>H42/H39</f>
        <v>1330.967741935484</v>
      </c>
      <c r="I43" s="5"/>
    </row>
    <row r="44" spans="1:9" ht="12.75">
      <c r="A44" s="5" t="s">
        <v>7</v>
      </c>
      <c r="B44" s="5"/>
      <c r="C44" s="5"/>
      <c r="D44" s="5"/>
      <c r="E44" s="109"/>
      <c r="F44" s="105"/>
      <c r="G44" s="105">
        <f>LCP</f>
        <v>25</v>
      </c>
      <c r="H44" s="110" t="s">
        <v>57</v>
      </c>
      <c r="I44" s="5"/>
    </row>
    <row r="45" spans="1:9" ht="12.75">
      <c r="A45" s="5" t="s">
        <v>37</v>
      </c>
      <c r="B45" s="5"/>
      <c r="C45" s="5"/>
      <c r="D45" s="5"/>
      <c r="E45" s="111"/>
      <c r="F45" s="112">
        <f>Intr</f>
        <v>0.06</v>
      </c>
      <c r="G45" s="105"/>
      <c r="H45" s="105"/>
      <c r="I45" s="5"/>
    </row>
    <row r="46" spans="1:9" ht="12.75">
      <c r="A46" s="5" t="s">
        <v>33</v>
      </c>
      <c r="B46" s="5"/>
      <c r="C46" s="5"/>
      <c r="D46" s="5"/>
      <c r="E46" s="5"/>
      <c r="F46" s="105"/>
      <c r="G46" s="113">
        <f>InsCP</f>
        <v>0.016</v>
      </c>
      <c r="H46" s="113">
        <f>InsSDI</f>
        <v>0.006</v>
      </c>
      <c r="I46" s="5"/>
    </row>
    <row r="47" spans="1:9" ht="12.75">
      <c r="A47" s="103" t="s">
        <v>5</v>
      </c>
      <c r="B47" s="5"/>
      <c r="C47" s="5"/>
      <c r="D47" s="5"/>
      <c r="E47" s="5"/>
      <c r="F47" s="105"/>
      <c r="G47" s="104"/>
      <c r="H47" s="104"/>
      <c r="I47" s="5"/>
    </row>
    <row r="48" spans="1:9" ht="12.75">
      <c r="A48" s="5" t="s">
        <v>48</v>
      </c>
      <c r="B48" s="5"/>
      <c r="C48" s="5"/>
      <c r="D48" s="5"/>
      <c r="E48" s="5"/>
      <c r="F48" s="105"/>
      <c r="G48" s="30">
        <f>CPVC</f>
        <v>589.31</v>
      </c>
      <c r="H48" s="30">
        <f>SDIVC</f>
        <v>573.62</v>
      </c>
      <c r="I48" s="5"/>
    </row>
    <row r="49" spans="1:9" ht="12.75">
      <c r="A49" s="5" t="s">
        <v>30</v>
      </c>
      <c r="B49" s="5"/>
      <c r="C49" s="5"/>
      <c r="D49" s="5"/>
      <c r="E49" s="5"/>
      <c r="F49" s="105"/>
      <c r="G49" s="107"/>
      <c r="H49" s="108">
        <f>SDIVCDif</f>
        <v>0</v>
      </c>
      <c r="I49" s="5"/>
    </row>
    <row r="50" spans="1:9" ht="15">
      <c r="A50" s="103" t="s">
        <v>9</v>
      </c>
      <c r="B50" s="114"/>
      <c r="C50" s="5"/>
      <c r="D50" s="5"/>
      <c r="E50" s="5"/>
      <c r="F50" s="105"/>
      <c r="G50" s="104"/>
      <c r="H50" s="104"/>
      <c r="I50" s="5"/>
    </row>
    <row r="51" spans="1:9" ht="15">
      <c r="A51" s="42" t="s">
        <v>10</v>
      </c>
      <c r="B51" s="114"/>
      <c r="C51" s="5"/>
      <c r="D51" s="5"/>
      <c r="E51" s="5"/>
      <c r="F51" s="105"/>
      <c r="G51" s="105">
        <f>CPY</f>
        <v>240</v>
      </c>
      <c r="H51" s="105">
        <f>SDIY</f>
        <v>240</v>
      </c>
      <c r="I51" s="5"/>
    </row>
    <row r="52" spans="1:9" ht="15">
      <c r="A52" s="42" t="s">
        <v>31</v>
      </c>
      <c r="B52" s="114"/>
      <c r="C52" s="5"/>
      <c r="D52" s="5"/>
      <c r="E52" s="5"/>
      <c r="F52" s="30">
        <f>Corn</f>
        <v>3.67</v>
      </c>
      <c r="G52" s="104"/>
      <c r="H52" s="104"/>
      <c r="I52" s="5"/>
    </row>
    <row r="53" spans="1:9" ht="12.75">
      <c r="A53" s="5" t="s">
        <v>14</v>
      </c>
      <c r="B53" s="5"/>
      <c r="C53" s="5"/>
      <c r="D53" s="5"/>
      <c r="E53" s="115"/>
      <c r="F53" s="30">
        <f>DryNR</f>
        <v>47</v>
      </c>
      <c r="G53" s="105"/>
      <c r="H53" s="105"/>
      <c r="I53" s="5"/>
    </row>
  </sheetData>
  <sheetProtection sheet="1" objects="1" scenarios="1"/>
  <conditionalFormatting sqref="B12:G16">
    <cfRule type="cellIs" priority="1" dxfId="0" operator="lessThan" stopIfTrue="1">
      <formula>0</formula>
    </cfRule>
  </conditionalFormatting>
  <printOptions/>
  <pageMargins left="0.5" right="0.5" top="0.5" bottom="0.6" header="0.5" footer="0.4"/>
  <pageSetup horizontalDpi="600" verticalDpi="600" orientation="portrait" r:id="rId2"/>
  <headerFooter alignWithMargins="0">
    <oddFooter>&amp;L&amp;F file &amp; &amp;A tab&amp;CKSU&amp;R&amp;D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:I31"/>
    </sheetView>
  </sheetViews>
  <sheetFormatPr defaultColWidth="8.7109375" defaultRowHeight="12.75"/>
  <cols>
    <col min="1" max="1" width="8.7109375" style="9" customWidth="1"/>
    <col min="2" max="8" width="10.140625" style="9" bestFit="1" customWidth="1"/>
    <col min="9" max="16384" width="8.7109375" style="9" customWidth="1"/>
  </cols>
  <sheetData>
    <row r="1" spans="1:9" ht="15">
      <c r="A1" s="74" t="s">
        <v>52</v>
      </c>
      <c r="B1" s="75"/>
      <c r="C1" s="75"/>
      <c r="D1" s="75"/>
      <c r="E1" s="75"/>
      <c r="F1" s="75"/>
      <c r="G1" s="75"/>
      <c r="H1" s="75"/>
      <c r="I1" s="76"/>
    </row>
    <row r="2" spans="1:9" ht="15">
      <c r="A2" s="74" t="s">
        <v>53</v>
      </c>
      <c r="B2" s="77"/>
      <c r="C2" s="77"/>
      <c r="D2" s="77"/>
      <c r="E2" s="77"/>
      <c r="F2" s="77"/>
      <c r="G2" s="77"/>
      <c r="H2" s="77"/>
      <c r="I2" s="42"/>
    </row>
    <row r="3" spans="1:9" ht="15">
      <c r="A3" s="78" t="s">
        <v>76</v>
      </c>
      <c r="B3" s="77"/>
      <c r="C3" s="77"/>
      <c r="D3" s="77"/>
      <c r="E3" s="77"/>
      <c r="F3" s="77"/>
      <c r="G3" s="77"/>
      <c r="H3" s="77"/>
      <c r="I3" s="42"/>
    </row>
    <row r="4" spans="1:9" ht="12.75">
      <c r="A4" s="45" t="s">
        <v>54</v>
      </c>
      <c r="B4" s="44" t="s">
        <v>58</v>
      </c>
      <c r="C4" s="42"/>
      <c r="D4" s="44" t="s">
        <v>55</v>
      </c>
      <c r="E4" s="42"/>
      <c r="F4" s="42"/>
      <c r="G4" s="42"/>
      <c r="H4" s="42"/>
      <c r="I4" s="42"/>
    </row>
    <row r="5" spans="1:9" ht="12.75">
      <c r="A5" s="45" t="s">
        <v>56</v>
      </c>
      <c r="B5" s="91">
        <v>5</v>
      </c>
      <c r="C5" s="91">
        <v>10</v>
      </c>
      <c r="D5" s="91">
        <v>15</v>
      </c>
      <c r="E5" s="91">
        <v>20</v>
      </c>
      <c r="F5" s="91">
        <v>25</v>
      </c>
      <c r="G5" s="91">
        <v>30</v>
      </c>
      <c r="H5" s="91"/>
      <c r="I5" s="42"/>
    </row>
    <row r="6" spans="1:9" ht="15">
      <c r="A6" s="45">
        <f>A7-100</f>
        <v>1000</v>
      </c>
      <c r="B6" s="94">
        <f>(-1*CPA*((CP*((1/LCP)+(Intr/2)+InsCP))-(CPY*Corn)+CPVC)+(DryCPA*DryNR)+SDIA*((SDICS*((1/SDILS)+(Intr/2)+InsSDI))-(SDIY*Corn)+SDIVC+SDIVCDif)-(DrySDIA*DryNR))/Farea</f>
        <v>119.74056250000008</v>
      </c>
      <c r="C6" s="94">
        <f aca="true" t="shared" si="0" ref="C6:G13">(-1*CPA*((CP*((1/LCP)+(Intr/2)+InsCP))-(CPY*Corn)+CPVC)+(DryCPA*DryNR)+SDIA*((SDICS*((1/SDILS)+(Intr/2)+InsSDI))-(SDIY*Corn)+SDIVC+SDIVCDif)-(DrySDIA*DryNR))/Farea</f>
        <v>22.865562500000078</v>
      </c>
      <c r="D6" s="94">
        <f t="shared" si="0"/>
        <v>-9.426104166666642</v>
      </c>
      <c r="E6" s="94">
        <f t="shared" si="0"/>
        <v>-25.571937499999944</v>
      </c>
      <c r="F6" s="94">
        <f t="shared" si="0"/>
        <v>-35.25943749999995</v>
      </c>
      <c r="G6" s="94">
        <f t="shared" si="0"/>
        <v>-41.71777083333325</v>
      </c>
      <c r="H6" s="95"/>
      <c r="I6" s="42"/>
    </row>
    <row r="7" spans="1:9" ht="15">
      <c r="A7" s="45">
        <f>A8-100</f>
        <v>1100</v>
      </c>
      <c r="B7" s="94">
        <f aca="true" t="shared" si="1" ref="B7:B13">(-1*CPA*((CP*((1/LCP)+(Intr/2)+InsCP))-(CPY*Corn)+CPVC)+(DryCPA*DryNR)+SDIA*((SDICS*((1/SDILS)+(Intr/2)+InsSDI))-(SDIY*Corn)+SDIVC+SDIVCDif)-(DrySDIA*DryNR))/Farea</f>
        <v>142.60306250000008</v>
      </c>
      <c r="C7" s="94">
        <f t="shared" si="0"/>
        <v>36.0405625000001</v>
      </c>
      <c r="D7" s="94">
        <f t="shared" si="0"/>
        <v>0.5197291666667979</v>
      </c>
      <c r="E7" s="94">
        <f t="shared" si="0"/>
        <v>-17.2406874999999</v>
      </c>
      <c r="F7" s="94">
        <f t="shared" si="0"/>
        <v>-27.8969374999999</v>
      </c>
      <c r="G7" s="94">
        <f t="shared" si="0"/>
        <v>-35.00110416666659</v>
      </c>
      <c r="H7" s="95"/>
      <c r="I7" s="42"/>
    </row>
    <row r="8" spans="1:9" ht="15">
      <c r="A8" s="45">
        <f>A9-100</f>
        <v>1200</v>
      </c>
      <c r="B8" s="94">
        <f t="shared" si="1"/>
        <v>165.46556250000012</v>
      </c>
      <c r="C8" s="94">
        <f t="shared" si="0"/>
        <v>49.215562500000104</v>
      </c>
      <c r="D8" s="94">
        <f t="shared" si="0"/>
        <v>10.4655625000001</v>
      </c>
      <c r="E8" s="94">
        <f t="shared" si="0"/>
        <v>-8.9094374999999</v>
      </c>
      <c r="F8" s="94">
        <f t="shared" si="0"/>
        <v>-20.5344374999999</v>
      </c>
      <c r="G8" s="94">
        <f t="shared" si="0"/>
        <v>-28.2844374999999</v>
      </c>
      <c r="H8" s="95"/>
      <c r="I8" s="42"/>
    </row>
    <row r="9" spans="1:9" ht="15">
      <c r="A9" s="45">
        <f>(ROUND((SDI/100),0)*100)</f>
        <v>1300</v>
      </c>
      <c r="B9" s="94">
        <f t="shared" si="1"/>
        <v>188.32806250000004</v>
      </c>
      <c r="C9" s="94">
        <f t="shared" si="0"/>
        <v>62.39056250000003</v>
      </c>
      <c r="D9" s="94">
        <f t="shared" si="0"/>
        <v>20.411395833333426</v>
      </c>
      <c r="E9" s="94">
        <f t="shared" si="0"/>
        <v>-0.5781874999999672</v>
      </c>
      <c r="F9" s="94">
        <f t="shared" si="0"/>
        <v>-13.171937499999967</v>
      </c>
      <c r="G9" s="94">
        <f t="shared" si="0"/>
        <v>-21.56777083333329</v>
      </c>
      <c r="H9" s="95"/>
      <c r="I9" s="42"/>
    </row>
    <row r="10" spans="1:9" ht="15">
      <c r="A10" s="45">
        <f>A9+100</f>
        <v>1400</v>
      </c>
      <c r="B10" s="94">
        <f t="shared" si="1"/>
        <v>211.19056250000017</v>
      </c>
      <c r="C10" s="94">
        <f t="shared" si="0"/>
        <v>75.56556250000006</v>
      </c>
      <c r="D10" s="94">
        <f t="shared" si="0"/>
        <v>30.35722916666675</v>
      </c>
      <c r="E10" s="94">
        <f t="shared" si="0"/>
        <v>7.7530625000000555</v>
      </c>
      <c r="F10" s="94">
        <f t="shared" si="0"/>
        <v>-5.8094374999999445</v>
      </c>
      <c r="G10" s="94">
        <f t="shared" si="0"/>
        <v>-14.851104166666664</v>
      </c>
      <c r="H10" s="95"/>
      <c r="I10" s="42"/>
    </row>
    <row r="11" spans="1:9" ht="15">
      <c r="A11" s="45">
        <f>A10+100</f>
        <v>1500</v>
      </c>
      <c r="B11" s="94">
        <f t="shared" si="1"/>
        <v>234.05306250000007</v>
      </c>
      <c r="C11" s="94">
        <f t="shared" si="0"/>
        <v>88.74056250000007</v>
      </c>
      <c r="D11" s="94">
        <f t="shared" si="0"/>
        <v>40.30306250000008</v>
      </c>
      <c r="E11" s="94">
        <f t="shared" si="0"/>
        <v>16.084312500000078</v>
      </c>
      <c r="F11" s="94">
        <f t="shared" si="0"/>
        <v>1.5530625000000782</v>
      </c>
      <c r="G11" s="94">
        <f t="shared" si="0"/>
        <v>-8.134437499999922</v>
      </c>
      <c r="H11" s="95"/>
      <c r="I11" s="42"/>
    </row>
    <row r="12" spans="1:9" ht="15">
      <c r="A12" s="45">
        <f>A11+100</f>
        <v>1600</v>
      </c>
      <c r="B12" s="94">
        <f t="shared" si="1"/>
        <v>256.9155625000001</v>
      </c>
      <c r="C12" s="94">
        <f t="shared" si="0"/>
        <v>101.91556250000009</v>
      </c>
      <c r="D12" s="94">
        <f t="shared" si="0"/>
        <v>50.24889583333338</v>
      </c>
      <c r="E12" s="94">
        <f t="shared" si="0"/>
        <v>24.4155625000001</v>
      </c>
      <c r="F12" s="94">
        <f t="shared" si="0"/>
        <v>8.915562500000101</v>
      </c>
      <c r="G12" s="94">
        <f t="shared" si="0"/>
        <v>-1.4177708333333157</v>
      </c>
      <c r="H12" s="95"/>
      <c r="I12" s="42"/>
    </row>
    <row r="13" spans="1:9" ht="15">
      <c r="A13" s="45"/>
      <c r="B13" s="96" t="e">
        <f t="shared" si="1"/>
        <v>#VALUE!</v>
      </c>
      <c r="C13" s="96" t="e">
        <f t="shared" si="0"/>
        <v>#VALUE!</v>
      </c>
      <c r="D13" s="96" t="e">
        <f t="shared" si="0"/>
        <v>#VALUE!</v>
      </c>
      <c r="E13" s="96" t="e">
        <f t="shared" si="0"/>
        <v>#VALUE!</v>
      </c>
      <c r="F13" s="96" t="e">
        <f t="shared" si="0"/>
        <v>#VALUE!</v>
      </c>
      <c r="G13" s="96" t="e">
        <f t="shared" si="0"/>
        <v>#VALUE!</v>
      </c>
      <c r="H13" s="97"/>
      <c r="I13" s="42"/>
    </row>
    <row r="14" spans="1:9" ht="12.75">
      <c r="A14" s="45"/>
      <c r="B14" s="97"/>
      <c r="C14" s="97"/>
      <c r="D14" s="97"/>
      <c r="E14" s="97"/>
      <c r="F14" s="97"/>
      <c r="G14" s="97"/>
      <c r="H14" s="97"/>
      <c r="I14" s="42"/>
    </row>
    <row r="15" spans="1:9" ht="12.75">
      <c r="A15" s="45"/>
      <c r="B15" s="97"/>
      <c r="C15" s="97"/>
      <c r="D15" s="97"/>
      <c r="E15" s="97"/>
      <c r="F15" s="97"/>
      <c r="G15" s="97"/>
      <c r="H15" s="97"/>
      <c r="I15" s="42"/>
    </row>
    <row r="16" spans="1:9" ht="12.75">
      <c r="A16" s="45"/>
      <c r="B16" s="97"/>
      <c r="C16" s="97"/>
      <c r="D16" s="97"/>
      <c r="E16" s="97"/>
      <c r="F16" s="97"/>
      <c r="G16" s="97"/>
      <c r="H16" s="97"/>
      <c r="I16" s="42"/>
    </row>
    <row r="17" spans="1:9" ht="12.75">
      <c r="A17" s="45"/>
      <c r="B17" s="97"/>
      <c r="C17" s="97"/>
      <c r="D17" s="97"/>
      <c r="E17" s="97"/>
      <c r="F17" s="97"/>
      <c r="G17" s="97"/>
      <c r="H17" s="97"/>
      <c r="I17" s="42"/>
    </row>
    <row r="18" spans="1:9" ht="12.75">
      <c r="A18" s="45"/>
      <c r="B18" s="97"/>
      <c r="C18" s="97"/>
      <c r="D18" s="97"/>
      <c r="E18" s="97"/>
      <c r="F18" s="97"/>
      <c r="G18" s="97"/>
      <c r="H18" s="97"/>
      <c r="I18" s="42"/>
    </row>
    <row r="19" spans="1:9" ht="12.75">
      <c r="A19" s="42"/>
      <c r="B19" s="98"/>
      <c r="C19" s="98"/>
      <c r="D19" s="98"/>
      <c r="E19" s="98"/>
      <c r="F19" s="98"/>
      <c r="G19" s="98"/>
      <c r="H19" s="42"/>
      <c r="I19" s="42"/>
    </row>
    <row r="20" spans="1:9" ht="12.75">
      <c r="A20" s="42"/>
      <c r="B20" s="42"/>
      <c r="C20" s="42"/>
      <c r="D20" s="42"/>
      <c r="E20" s="42"/>
      <c r="F20" s="42"/>
      <c r="G20" s="42"/>
      <c r="H20" s="42"/>
      <c r="I20" s="42"/>
    </row>
    <row r="21" spans="1:9" ht="12.75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12.75">
      <c r="A22" s="42"/>
      <c r="B22" s="42"/>
      <c r="C22" s="42"/>
      <c r="D22" s="42"/>
      <c r="E22" s="42"/>
      <c r="F22" s="42"/>
      <c r="G22" s="42"/>
      <c r="H22" s="42"/>
      <c r="I22" s="42"/>
    </row>
    <row r="23" spans="1:9" ht="12.75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12.7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2.7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12.75">
      <c r="A26" s="42"/>
      <c r="B26" s="42"/>
      <c r="C26" s="42"/>
      <c r="D26" s="42"/>
      <c r="E26" s="42"/>
      <c r="F26" s="42"/>
      <c r="G26" s="42"/>
      <c r="H26" s="42"/>
      <c r="I26" s="42"/>
    </row>
    <row r="27" spans="1:9" ht="12.7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  <row r="29" spans="1:9" ht="12.75">
      <c r="A29" s="42"/>
      <c r="B29" s="42"/>
      <c r="C29" s="42"/>
      <c r="D29" s="42"/>
      <c r="E29" s="42"/>
      <c r="F29" s="42"/>
      <c r="G29" s="42"/>
      <c r="H29" s="42"/>
      <c r="I29" s="42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9" ht="12.75">
      <c r="A31" s="42"/>
      <c r="B31" s="42"/>
      <c r="C31" s="42"/>
      <c r="D31" s="42"/>
      <c r="E31" s="42"/>
      <c r="F31" s="42"/>
      <c r="G31" s="42"/>
      <c r="H31" s="42"/>
      <c r="I31" s="42"/>
    </row>
    <row r="32" spans="1:9" ht="12.75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18.75">
      <c r="A33" s="99" t="s">
        <v>49</v>
      </c>
      <c r="B33" s="5"/>
      <c r="C33" s="5"/>
      <c r="D33" s="5"/>
      <c r="E33" s="5"/>
      <c r="F33" s="5"/>
      <c r="G33" s="5"/>
      <c r="H33" s="5"/>
      <c r="I33" s="5"/>
    </row>
    <row r="34" spans="1:9" ht="12.75">
      <c r="A34" s="121" t="s">
        <v>50</v>
      </c>
      <c r="B34" s="122"/>
      <c r="C34" s="122"/>
      <c r="D34" s="122"/>
      <c r="E34" s="122"/>
      <c r="F34" s="122"/>
      <c r="G34" s="5"/>
      <c r="H34" s="5"/>
      <c r="I34" s="5"/>
    </row>
    <row r="35" spans="1:9" ht="12.75">
      <c r="A35" s="121" t="s">
        <v>51</v>
      </c>
      <c r="B35" s="122"/>
      <c r="C35" s="122"/>
      <c r="D35" s="122"/>
      <c r="E35" s="122"/>
      <c r="F35" s="122"/>
      <c r="G35" s="5"/>
      <c r="H35" s="5"/>
      <c r="I35" s="5"/>
    </row>
    <row r="36" spans="1:9" ht="15">
      <c r="A36" s="123" t="s">
        <v>1</v>
      </c>
      <c r="B36" s="5"/>
      <c r="C36" s="5"/>
      <c r="D36" s="5"/>
      <c r="E36" s="5"/>
      <c r="F36" s="104" t="s">
        <v>2</v>
      </c>
      <c r="G36" s="104" t="s">
        <v>4</v>
      </c>
      <c r="H36" s="104" t="s">
        <v>3</v>
      </c>
      <c r="I36" s="5"/>
    </row>
    <row r="37" spans="1:9" ht="12.75">
      <c r="A37" s="5" t="s">
        <v>47</v>
      </c>
      <c r="B37" s="5"/>
      <c r="C37" s="5"/>
      <c r="D37" s="5"/>
      <c r="E37" s="29"/>
      <c r="F37" s="105">
        <f>Farea</f>
        <v>160</v>
      </c>
      <c r="G37" s="105">
        <f>CPA</f>
        <v>125</v>
      </c>
      <c r="H37" s="105">
        <f>SDIA</f>
        <v>155</v>
      </c>
      <c r="I37" s="5"/>
    </row>
    <row r="38" spans="1:9" ht="12.75">
      <c r="A38" s="5" t="s">
        <v>80</v>
      </c>
      <c r="B38" s="5"/>
      <c r="C38" s="5"/>
      <c r="D38" s="5"/>
      <c r="E38" s="29"/>
      <c r="F38" s="105">
        <f>NCA</f>
        <v>5</v>
      </c>
      <c r="G38" s="107" t="str">
        <f>IF(MIN(F37-CPA,F37-SDIA,F37-F38,F37-(CPA-F38),F37-(SDIA+F38))&lt;0,"Error! Total field area must be greater than other areas"," ")</f>
        <v> </v>
      </c>
      <c r="H38" s="105"/>
      <c r="I38" s="5"/>
    </row>
    <row r="39" spans="1:9" ht="12.75">
      <c r="A39" s="5" t="s">
        <v>84</v>
      </c>
      <c r="B39" s="5"/>
      <c r="C39" s="5"/>
      <c r="D39" s="5"/>
      <c r="E39" s="29"/>
      <c r="F39" s="105"/>
      <c r="G39" s="105">
        <f>F37-F38-G37</f>
        <v>30</v>
      </c>
      <c r="H39" s="105">
        <f>F37-F38-H37</f>
        <v>0</v>
      </c>
      <c r="I39" s="5"/>
    </row>
    <row r="40" spans="1:9" ht="12.75">
      <c r="A40" s="5" t="s">
        <v>6</v>
      </c>
      <c r="B40" s="5"/>
      <c r="C40" s="5"/>
      <c r="D40" s="5"/>
      <c r="E40" s="5"/>
      <c r="F40" s="105"/>
      <c r="G40" s="108">
        <f>CPTC</f>
        <v>89010</v>
      </c>
      <c r="H40" s="108">
        <f>SDITC</f>
        <v>206300</v>
      </c>
      <c r="I40" s="5"/>
    </row>
    <row r="41" spans="1:9" ht="12.75">
      <c r="A41" s="5" t="s">
        <v>12</v>
      </c>
      <c r="B41" s="5"/>
      <c r="C41" s="5"/>
      <c r="D41" s="5"/>
      <c r="E41" s="5"/>
      <c r="F41" s="105"/>
      <c r="G41" s="108">
        <f>G40/G37</f>
        <v>712.08</v>
      </c>
      <c r="H41" s="108">
        <f>H40/H37</f>
        <v>1330.967741935484</v>
      </c>
      <c r="I41" s="5"/>
    </row>
    <row r="42" spans="1:9" ht="12.75">
      <c r="A42" s="5" t="s">
        <v>7</v>
      </c>
      <c r="B42" s="5"/>
      <c r="C42" s="5"/>
      <c r="D42" s="5"/>
      <c r="E42" s="109"/>
      <c r="F42" s="105"/>
      <c r="G42" s="105">
        <f>LCP</f>
        <v>25</v>
      </c>
      <c r="H42" s="110" t="s">
        <v>57</v>
      </c>
      <c r="I42" s="5"/>
    </row>
    <row r="43" spans="1:9" ht="12.75">
      <c r="A43" s="5" t="s">
        <v>37</v>
      </c>
      <c r="B43" s="5"/>
      <c r="C43" s="5"/>
      <c r="D43" s="5"/>
      <c r="E43" s="111"/>
      <c r="F43" s="112">
        <f>Intr</f>
        <v>0.06</v>
      </c>
      <c r="G43" s="105"/>
      <c r="H43" s="105"/>
      <c r="I43" s="5"/>
    </row>
    <row r="44" spans="1:9" ht="12.75">
      <c r="A44" s="5" t="s">
        <v>33</v>
      </c>
      <c r="B44" s="5"/>
      <c r="C44" s="5"/>
      <c r="D44" s="5"/>
      <c r="E44" s="5"/>
      <c r="F44" s="105"/>
      <c r="G44" s="113">
        <f>InsCP</f>
        <v>0.016</v>
      </c>
      <c r="H44" s="113">
        <f>InsSDI</f>
        <v>0.006</v>
      </c>
      <c r="I44" s="5"/>
    </row>
    <row r="45" spans="1:9" ht="15">
      <c r="A45" s="123" t="s">
        <v>5</v>
      </c>
      <c r="B45" s="5"/>
      <c r="C45" s="5"/>
      <c r="D45" s="5"/>
      <c r="E45" s="5"/>
      <c r="F45" s="105"/>
      <c r="G45" s="104"/>
      <c r="H45" s="104"/>
      <c r="I45" s="5"/>
    </row>
    <row r="46" spans="1:9" ht="12.75">
      <c r="A46" s="5" t="s">
        <v>48</v>
      </c>
      <c r="B46" s="5"/>
      <c r="C46" s="5"/>
      <c r="D46" s="5"/>
      <c r="E46" s="5"/>
      <c r="F46" s="105"/>
      <c r="G46" s="30">
        <f>CPVC</f>
        <v>589.31</v>
      </c>
      <c r="H46" s="30">
        <f>SDIVC</f>
        <v>573.62</v>
      </c>
      <c r="I46" s="5"/>
    </row>
    <row r="47" spans="1:9" ht="12.75">
      <c r="A47" s="5" t="s">
        <v>30</v>
      </c>
      <c r="B47" s="5"/>
      <c r="C47" s="5"/>
      <c r="D47" s="5"/>
      <c r="E47" s="5"/>
      <c r="F47" s="105"/>
      <c r="G47" s="107"/>
      <c r="H47" s="108">
        <f>SDIVCDif</f>
        <v>0</v>
      </c>
      <c r="I47" s="5"/>
    </row>
    <row r="48" spans="1:9" ht="15">
      <c r="A48" s="123" t="s">
        <v>9</v>
      </c>
      <c r="B48" s="114"/>
      <c r="C48" s="5"/>
      <c r="D48" s="5"/>
      <c r="E48" s="5"/>
      <c r="F48" s="105"/>
      <c r="G48" s="104"/>
      <c r="H48" s="104"/>
      <c r="I48" s="5"/>
    </row>
    <row r="49" spans="1:9" ht="12.75" customHeight="1">
      <c r="A49" s="42" t="s">
        <v>10</v>
      </c>
      <c r="B49" s="114"/>
      <c r="C49" s="5"/>
      <c r="D49" s="5"/>
      <c r="E49" s="5"/>
      <c r="F49" s="105"/>
      <c r="G49" s="105">
        <f>CPY</f>
        <v>240</v>
      </c>
      <c r="H49" s="105">
        <f>SDIY</f>
        <v>240</v>
      </c>
      <c r="I49" s="5"/>
    </row>
    <row r="50" spans="1:9" ht="12.75" customHeight="1">
      <c r="A50" s="42" t="s">
        <v>31</v>
      </c>
      <c r="B50" s="114"/>
      <c r="C50" s="5"/>
      <c r="D50" s="5"/>
      <c r="E50" s="5"/>
      <c r="F50" s="30">
        <f>Corn</f>
        <v>3.67</v>
      </c>
      <c r="G50" s="104"/>
      <c r="H50" s="104"/>
      <c r="I50" s="5"/>
    </row>
    <row r="51" spans="1:9" ht="12.75" customHeight="1">
      <c r="A51" s="5" t="s">
        <v>14</v>
      </c>
      <c r="B51" s="5"/>
      <c r="C51" s="5"/>
      <c r="D51" s="5"/>
      <c r="E51" s="115"/>
      <c r="F51" s="30">
        <f>DryNR</f>
        <v>47</v>
      </c>
      <c r="G51" s="105"/>
      <c r="H51" s="105"/>
      <c r="I51" s="5"/>
    </row>
  </sheetData>
  <sheetProtection sheet="1" objects="1" scenarios="1"/>
  <conditionalFormatting sqref="B6:G12">
    <cfRule type="cellIs" priority="1" dxfId="0" operator="lessThan" stopIfTrue="1">
      <formula>0</formula>
    </cfRule>
  </conditionalFormatting>
  <printOptions/>
  <pageMargins left="0.5" right="0.5" top="0.75" bottom="0.75" header="0.5" footer="0.5"/>
  <pageSetup horizontalDpi="600" verticalDpi="600" orientation="portrait" r:id="rId2"/>
  <headerFooter alignWithMargins="0">
    <oddFooter>&amp;L&amp;F file and &amp;A tab&amp;CKSU&amp;R&amp;D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34"/>
    </sheetView>
  </sheetViews>
  <sheetFormatPr defaultColWidth="8.7109375" defaultRowHeight="12.75"/>
  <cols>
    <col min="1" max="1" width="12.421875" style="9" customWidth="1"/>
    <col min="2" max="8" width="9.421875" style="9" customWidth="1"/>
    <col min="9" max="9" width="6.140625" style="9" customWidth="1"/>
    <col min="10" max="16384" width="8.7109375" style="9" customWidth="1"/>
  </cols>
  <sheetData>
    <row r="1" spans="1:9" ht="15">
      <c r="A1" s="74" t="s">
        <v>43</v>
      </c>
      <c r="B1" s="75"/>
      <c r="C1" s="75"/>
      <c r="D1" s="75"/>
      <c r="E1" s="75"/>
      <c r="F1" s="75"/>
      <c r="G1" s="75"/>
      <c r="H1" s="75"/>
      <c r="I1" s="76"/>
    </row>
    <row r="2" spans="1:9" ht="15">
      <c r="A2" s="74" t="s">
        <v>44</v>
      </c>
      <c r="B2" s="77"/>
      <c r="C2" s="77"/>
      <c r="D2" s="77"/>
      <c r="E2" s="77"/>
      <c r="F2" s="77"/>
      <c r="G2" s="77"/>
      <c r="H2" s="77"/>
      <c r="I2" s="42"/>
    </row>
    <row r="3" spans="1:9" ht="15">
      <c r="A3" s="78" t="s">
        <v>76</v>
      </c>
      <c r="B3" s="77"/>
      <c r="C3" s="77"/>
      <c r="D3" s="77"/>
      <c r="E3" s="77"/>
      <c r="F3" s="77"/>
      <c r="G3" s="77"/>
      <c r="H3" s="77"/>
      <c r="I3" s="42"/>
    </row>
    <row r="4" spans="1:9" ht="12.75">
      <c r="A4" s="44"/>
      <c r="B4" s="44" t="s">
        <v>46</v>
      </c>
      <c r="C4" s="42"/>
      <c r="D4" s="42"/>
      <c r="E4" s="42"/>
      <c r="F4" s="42"/>
      <c r="G4" s="42"/>
      <c r="H4" s="42"/>
      <c r="I4" s="42"/>
    </row>
    <row r="5" spans="1:9" ht="12.75">
      <c r="A5" s="44" t="s">
        <v>45</v>
      </c>
      <c r="B5" s="124">
        <f>C5-0.4</f>
        <v>2.5000000000000004</v>
      </c>
      <c r="C5" s="124">
        <f>D5-0.4</f>
        <v>2.9000000000000004</v>
      </c>
      <c r="D5" s="124">
        <f>E5-0.4</f>
        <v>3.3000000000000003</v>
      </c>
      <c r="E5" s="124">
        <f>(ROUND(Corn,1))</f>
        <v>3.7</v>
      </c>
      <c r="F5" s="124">
        <f>E5+0.4</f>
        <v>4.1000000000000005</v>
      </c>
      <c r="G5" s="124">
        <f>F5+0.4</f>
        <v>4.500000000000001</v>
      </c>
      <c r="H5" s="124">
        <f>G5+0.4</f>
        <v>4.900000000000001</v>
      </c>
      <c r="I5" s="42"/>
    </row>
    <row r="6" spans="1:9" ht="12.75">
      <c r="A6" s="45">
        <v>160</v>
      </c>
      <c r="B6" s="125">
        <f>(-1*CPA*((CP*((1/LCP)+(Intr/2)+InsCP))-(CYld*CornP)+CPVC)+(DryCPA*DryNR)+SDIA*((SDI*((1/LSDI)+(Intr/2)+InsSDI))-(CYld*CornP)+SDIVC+SDIVCDif)-(DrySDIA*DryNR))/Farea</f>
        <v>86.2910170454546</v>
      </c>
      <c r="C6" s="125">
        <f aca="true" t="shared" si="0" ref="C6:H17">(-1*CPA*((CP*((1/LCP)+(Intr/2)+InsCP))-(CYld*CornP)+CPVC)+(DryCPA*DryNR)+SDIA*((SDI*((1/LSDI)+(Intr/2)+InsSDI))-(CYld*CornP)+SDIVC+SDIVCDif)-(DrySDIA*DryNR))/Farea</f>
        <v>74.2910170454546</v>
      </c>
      <c r="D6" s="125">
        <f t="shared" si="0"/>
        <v>62.29101704545462</v>
      </c>
      <c r="E6" s="125">
        <f t="shared" si="0"/>
        <v>50.291017045454616</v>
      </c>
      <c r="F6" s="125">
        <f t="shared" si="0"/>
        <v>38.291017045454545</v>
      </c>
      <c r="G6" s="125">
        <f t="shared" si="0"/>
        <v>26.291017045454538</v>
      </c>
      <c r="H6" s="125">
        <f t="shared" si="0"/>
        <v>14.29101704545452</v>
      </c>
      <c r="I6" s="42"/>
    </row>
    <row r="7" spans="1:9" ht="12.75">
      <c r="A7" s="45">
        <v>170</v>
      </c>
      <c r="B7" s="125">
        <f aca="true" t="shared" si="1" ref="B7:B17">(-1*CPA*((CP*((1/LCP)+(Intr/2)+InsCP))-(CYld*CornP)+CPVC)+(DryCPA*DryNR)+SDIA*((SDI*((1/LSDI)+(Intr/2)+InsSDI))-(CYld*CornP)+SDIVC+SDIVCDif)-(DrySDIA*DryNR))/Farea</f>
        <v>81.6035170454546</v>
      </c>
      <c r="C7" s="125">
        <f t="shared" si="0"/>
        <v>68.8535170454546</v>
      </c>
      <c r="D7" s="125">
        <f t="shared" si="0"/>
        <v>56.10351704545462</v>
      </c>
      <c r="E7" s="125">
        <f t="shared" si="0"/>
        <v>43.35351704545456</v>
      </c>
      <c r="F7" s="125">
        <f t="shared" si="0"/>
        <v>30.603517045454538</v>
      </c>
      <c r="G7" s="125">
        <f t="shared" si="0"/>
        <v>17.853517045454545</v>
      </c>
      <c r="H7" s="125">
        <f t="shared" si="0"/>
        <v>5.10351704545451</v>
      </c>
      <c r="I7" s="42"/>
    </row>
    <row r="8" spans="1:9" ht="12.75">
      <c r="A8" s="45">
        <v>180</v>
      </c>
      <c r="B8" s="125">
        <f t="shared" si="1"/>
        <v>76.9160170454546</v>
      </c>
      <c r="C8" s="125">
        <f t="shared" si="0"/>
        <v>63.4160170454546</v>
      </c>
      <c r="D8" s="125">
        <f t="shared" si="0"/>
        <v>49.916017045454616</v>
      </c>
      <c r="E8" s="125">
        <f t="shared" si="0"/>
        <v>36.416017045454566</v>
      </c>
      <c r="F8" s="125">
        <f t="shared" si="0"/>
        <v>22.916017045454545</v>
      </c>
      <c r="G8" s="125">
        <f t="shared" si="0"/>
        <v>9.416017045454533</v>
      </c>
      <c r="H8" s="125">
        <f t="shared" si="0"/>
        <v>-4.08398295454549</v>
      </c>
      <c r="I8" s="42"/>
    </row>
    <row r="9" spans="1:9" ht="12.75">
      <c r="A9" s="45">
        <v>190</v>
      </c>
      <c r="B9" s="125">
        <f t="shared" si="1"/>
        <v>72.2285170454546</v>
      </c>
      <c r="C9" s="125">
        <f t="shared" si="0"/>
        <v>57.9785170454546</v>
      </c>
      <c r="D9" s="125">
        <f t="shared" si="0"/>
        <v>43.72851704545456</v>
      </c>
      <c r="E9" s="125">
        <f t="shared" si="0"/>
        <v>29.478517045454566</v>
      </c>
      <c r="F9" s="125">
        <f t="shared" si="0"/>
        <v>15.228517045454543</v>
      </c>
      <c r="G9" s="125">
        <f t="shared" si="0"/>
        <v>0.9785170454545323</v>
      </c>
      <c r="H9" s="125">
        <f t="shared" si="0"/>
        <v>-13.27148295454549</v>
      </c>
      <c r="I9" s="42"/>
    </row>
    <row r="10" spans="1:9" ht="12.75">
      <c r="A10" s="45">
        <v>200</v>
      </c>
      <c r="B10" s="125">
        <f t="shared" si="1"/>
        <v>67.5410170454546</v>
      </c>
      <c r="C10" s="125">
        <f t="shared" si="0"/>
        <v>52.54101704545459</v>
      </c>
      <c r="D10" s="125">
        <f t="shared" si="0"/>
        <v>37.541017045454566</v>
      </c>
      <c r="E10" s="125">
        <f t="shared" si="0"/>
        <v>22.541017045454556</v>
      </c>
      <c r="F10" s="125">
        <f t="shared" si="0"/>
        <v>7.541017045454533</v>
      </c>
      <c r="G10" s="125">
        <f t="shared" si="0"/>
        <v>-7.45898295454549</v>
      </c>
      <c r="H10" s="125">
        <f t="shared" si="0"/>
        <v>-22.45898295454549</v>
      </c>
      <c r="I10" s="42"/>
    </row>
    <row r="11" spans="1:9" ht="12.75">
      <c r="A11" s="45">
        <v>210</v>
      </c>
      <c r="B11" s="125">
        <f t="shared" si="1"/>
        <v>62.8535170454546</v>
      </c>
      <c r="C11" s="125">
        <f t="shared" si="0"/>
        <v>47.10351704545459</v>
      </c>
      <c r="D11" s="125">
        <f t="shared" si="0"/>
        <v>31.353517045454566</v>
      </c>
      <c r="E11" s="125">
        <f t="shared" si="0"/>
        <v>15.603517045454556</v>
      </c>
      <c r="F11" s="125">
        <f t="shared" si="0"/>
        <v>-0.1464829545454677</v>
      </c>
      <c r="G11" s="125">
        <f t="shared" si="0"/>
        <v>-15.89648295454549</v>
      </c>
      <c r="H11" s="125">
        <f t="shared" si="0"/>
        <v>-31.64648295454549</v>
      </c>
      <c r="I11" s="42"/>
    </row>
    <row r="12" spans="1:9" ht="12.75">
      <c r="A12" s="45">
        <v>220</v>
      </c>
      <c r="B12" s="125">
        <f t="shared" si="1"/>
        <v>58.1660170454546</v>
      </c>
      <c r="C12" s="125">
        <f t="shared" si="0"/>
        <v>41.666017045454545</v>
      </c>
      <c r="D12" s="125">
        <f t="shared" si="0"/>
        <v>25.166017045454538</v>
      </c>
      <c r="E12" s="125">
        <f t="shared" si="0"/>
        <v>8.666017045454556</v>
      </c>
      <c r="F12" s="125">
        <f t="shared" si="0"/>
        <v>-7.833982954545445</v>
      </c>
      <c r="G12" s="125">
        <f t="shared" si="0"/>
        <v>-24.33398295454549</v>
      </c>
      <c r="H12" s="125">
        <f t="shared" si="0"/>
        <v>-40.83398295454549</v>
      </c>
      <c r="I12" s="42"/>
    </row>
    <row r="13" spans="1:9" ht="12.75">
      <c r="A13" s="45">
        <v>230</v>
      </c>
      <c r="B13" s="125">
        <f t="shared" si="1"/>
        <v>53.4785170454546</v>
      </c>
      <c r="C13" s="125">
        <f t="shared" si="0"/>
        <v>36.228517045454545</v>
      </c>
      <c r="D13" s="125">
        <f t="shared" si="0"/>
        <v>18.978517045454545</v>
      </c>
      <c r="E13" s="125">
        <f t="shared" si="0"/>
        <v>1.728517045454555</v>
      </c>
      <c r="F13" s="125">
        <f t="shared" si="0"/>
        <v>-15.521482954545444</v>
      </c>
      <c r="G13" s="125">
        <f t="shared" si="0"/>
        <v>-32.77148295454549</v>
      </c>
      <c r="H13" s="125">
        <f t="shared" si="0"/>
        <v>-50.02148295454558</v>
      </c>
      <c r="I13" s="42"/>
    </row>
    <row r="14" spans="1:9" ht="12.75">
      <c r="A14" s="45">
        <v>240</v>
      </c>
      <c r="B14" s="125">
        <f t="shared" si="1"/>
        <v>48.79101704545459</v>
      </c>
      <c r="C14" s="125">
        <f t="shared" si="0"/>
        <v>30.791017045454538</v>
      </c>
      <c r="D14" s="125">
        <f t="shared" si="0"/>
        <v>12.791017045454533</v>
      </c>
      <c r="E14" s="125">
        <f t="shared" si="0"/>
        <v>-5.208982954545445</v>
      </c>
      <c r="F14" s="125">
        <f t="shared" si="0"/>
        <v>-23.208982954545444</v>
      </c>
      <c r="G14" s="125">
        <f t="shared" si="0"/>
        <v>-41.20898295454549</v>
      </c>
      <c r="H14" s="125">
        <f t="shared" si="0"/>
        <v>-59.20898295454545</v>
      </c>
      <c r="I14" s="42"/>
    </row>
    <row r="15" spans="1:9" ht="12.75">
      <c r="A15" s="45">
        <v>250</v>
      </c>
      <c r="B15" s="125">
        <f t="shared" si="1"/>
        <v>44.103517045454545</v>
      </c>
      <c r="C15" s="125">
        <f t="shared" si="0"/>
        <v>25.353517045454538</v>
      </c>
      <c r="D15" s="125">
        <f t="shared" si="0"/>
        <v>6.603517045454533</v>
      </c>
      <c r="E15" s="125">
        <f t="shared" si="0"/>
        <v>-12.146482954545444</v>
      </c>
      <c r="F15" s="125">
        <f t="shared" si="0"/>
        <v>-30.89648295454549</v>
      </c>
      <c r="G15" s="125">
        <f t="shared" si="0"/>
        <v>-49.64648295454558</v>
      </c>
      <c r="H15" s="125">
        <f t="shared" si="0"/>
        <v>-68.39648295454545</v>
      </c>
      <c r="I15" s="42"/>
    </row>
    <row r="16" spans="1:9" ht="12.75" customHeight="1">
      <c r="A16" s="45">
        <v>260</v>
      </c>
      <c r="B16" s="125">
        <f t="shared" si="1"/>
        <v>39.416017045454545</v>
      </c>
      <c r="C16" s="125">
        <f t="shared" si="0"/>
        <v>19.916017045454545</v>
      </c>
      <c r="D16" s="125">
        <f t="shared" si="0"/>
        <v>0.41601704545453233</v>
      </c>
      <c r="E16" s="125">
        <f t="shared" si="0"/>
        <v>-19.083982954545444</v>
      </c>
      <c r="F16" s="125">
        <f t="shared" si="0"/>
        <v>-38.58398295454549</v>
      </c>
      <c r="G16" s="125">
        <f t="shared" si="0"/>
        <v>-58.08398295454553</v>
      </c>
      <c r="H16" s="125">
        <f t="shared" si="0"/>
        <v>-77.58398295454545</v>
      </c>
      <c r="I16" s="42"/>
    </row>
    <row r="17" spans="1:9" ht="12.75" customHeight="1">
      <c r="A17" s="45">
        <v>270</v>
      </c>
      <c r="B17" s="125">
        <f t="shared" si="1"/>
        <v>34.72851704545454</v>
      </c>
      <c r="C17" s="125">
        <f t="shared" si="0"/>
        <v>14.478517045454543</v>
      </c>
      <c r="D17" s="125">
        <f t="shared" si="0"/>
        <v>-5.771482954545467</v>
      </c>
      <c r="E17" s="125">
        <f t="shared" si="0"/>
        <v>-26.021482954545444</v>
      </c>
      <c r="F17" s="125">
        <f t="shared" si="0"/>
        <v>-46.27148295454558</v>
      </c>
      <c r="G17" s="125">
        <f t="shared" si="0"/>
        <v>-66.52148295454545</v>
      </c>
      <c r="H17" s="125">
        <f t="shared" si="0"/>
        <v>-86.77148295454545</v>
      </c>
      <c r="I17" s="42"/>
    </row>
    <row r="18" spans="1:9" ht="12.75">
      <c r="A18" s="45"/>
      <c r="B18" s="97"/>
      <c r="C18" s="97"/>
      <c r="D18" s="97"/>
      <c r="E18" s="97"/>
      <c r="F18" s="97"/>
      <c r="G18" s="97"/>
      <c r="H18" s="97"/>
      <c r="I18" s="42"/>
    </row>
    <row r="19" spans="1:9" ht="12.75">
      <c r="A19" s="45"/>
      <c r="B19" s="97"/>
      <c r="C19" s="97"/>
      <c r="D19" s="97"/>
      <c r="E19" s="97"/>
      <c r="F19" s="97"/>
      <c r="G19" s="97"/>
      <c r="H19" s="97"/>
      <c r="I19" s="42"/>
    </row>
    <row r="20" spans="1:9" ht="12.75">
      <c r="A20" s="45"/>
      <c r="B20" s="97"/>
      <c r="C20" s="97"/>
      <c r="D20" s="97"/>
      <c r="E20" s="97"/>
      <c r="F20" s="97"/>
      <c r="G20" s="97"/>
      <c r="H20" s="97"/>
      <c r="I20" s="42"/>
    </row>
    <row r="21" spans="1:9" ht="12.75">
      <c r="A21" s="45"/>
      <c r="B21" s="97"/>
      <c r="C21" s="97"/>
      <c r="D21" s="97"/>
      <c r="E21" s="97"/>
      <c r="F21" s="97"/>
      <c r="G21" s="97"/>
      <c r="H21" s="97"/>
      <c r="I21" s="42"/>
    </row>
    <row r="22" spans="1:9" ht="12.75">
      <c r="A22" s="45"/>
      <c r="B22" s="97"/>
      <c r="C22" s="97"/>
      <c r="D22" s="97"/>
      <c r="E22" s="97"/>
      <c r="F22" s="97"/>
      <c r="G22" s="97"/>
      <c r="H22" s="97"/>
      <c r="I22" s="42"/>
    </row>
    <row r="23" spans="1:9" ht="12.75">
      <c r="A23" s="45"/>
      <c r="B23" s="97"/>
      <c r="C23" s="97"/>
      <c r="D23" s="97"/>
      <c r="E23" s="97"/>
      <c r="F23" s="97"/>
      <c r="G23" s="97"/>
      <c r="H23" s="97"/>
      <c r="I23" s="42"/>
    </row>
    <row r="24" spans="1:9" ht="12.75">
      <c r="A24" s="42"/>
      <c r="B24" s="98"/>
      <c r="C24" s="98"/>
      <c r="D24" s="98"/>
      <c r="E24" s="98"/>
      <c r="F24" s="98"/>
      <c r="G24" s="98"/>
      <c r="H24" s="42"/>
      <c r="I24" s="42"/>
    </row>
    <row r="25" spans="1:9" ht="12.7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12.75">
      <c r="A26" s="42"/>
      <c r="B26" s="42"/>
      <c r="C26" s="42"/>
      <c r="D26" s="42"/>
      <c r="E26" s="42"/>
      <c r="F26" s="42"/>
      <c r="G26" s="42"/>
      <c r="H26" s="42"/>
      <c r="I26" s="42"/>
    </row>
    <row r="27" spans="1:9" ht="12.7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  <row r="29" spans="1:9" ht="12.75">
      <c r="A29" s="42"/>
      <c r="B29" s="42"/>
      <c r="C29" s="42"/>
      <c r="D29" s="42"/>
      <c r="E29" s="42"/>
      <c r="F29" s="42"/>
      <c r="G29" s="42"/>
      <c r="H29" s="42"/>
      <c r="I29" s="42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9" ht="12.75">
      <c r="A31" s="42"/>
      <c r="B31" s="42"/>
      <c r="C31" s="42"/>
      <c r="D31" s="42"/>
      <c r="E31" s="42"/>
      <c r="F31" s="42"/>
      <c r="G31" s="42"/>
      <c r="H31" s="42"/>
      <c r="I31" s="42"/>
    </row>
    <row r="32" spans="1:9" ht="12.75">
      <c r="A32" s="42"/>
      <c r="B32" s="42"/>
      <c r="C32" s="42"/>
      <c r="D32" s="42"/>
      <c r="E32" s="42"/>
      <c r="F32" s="42"/>
      <c r="G32" s="42"/>
      <c r="H32" s="42"/>
      <c r="I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  <row r="34" spans="1:9" ht="12.75">
      <c r="A34" s="42"/>
      <c r="B34" s="42"/>
      <c r="C34" s="42"/>
      <c r="D34" s="42"/>
      <c r="E34" s="42"/>
      <c r="F34" s="42"/>
      <c r="G34" s="42"/>
      <c r="H34" s="42"/>
      <c r="I34" s="42"/>
    </row>
    <row r="35" spans="1:9" ht="19.5" customHeight="1">
      <c r="A35" s="99" t="s">
        <v>49</v>
      </c>
      <c r="B35" s="5"/>
      <c r="C35" s="5"/>
      <c r="D35" s="5"/>
      <c r="E35" s="5"/>
      <c r="F35" s="5"/>
      <c r="G35" s="5"/>
      <c r="H35" s="5"/>
      <c r="I35" s="5"/>
    </row>
    <row r="36" spans="1:9" s="129" customFormat="1" ht="12">
      <c r="A36" s="126" t="s">
        <v>50</v>
      </c>
      <c r="B36" s="127"/>
      <c r="C36" s="127"/>
      <c r="D36" s="127"/>
      <c r="E36" s="127"/>
      <c r="F36" s="127"/>
      <c r="G36" s="128"/>
      <c r="H36" s="128"/>
      <c r="I36" s="128"/>
    </row>
    <row r="37" spans="1:9" s="129" customFormat="1" ht="12">
      <c r="A37" s="126" t="s">
        <v>51</v>
      </c>
      <c r="B37" s="127"/>
      <c r="C37" s="127"/>
      <c r="D37" s="127"/>
      <c r="E37" s="127"/>
      <c r="F37" s="127"/>
      <c r="G37" s="128"/>
      <c r="H37" s="128"/>
      <c r="I37" s="128"/>
    </row>
    <row r="38" spans="1:9" ht="15">
      <c r="A38" s="123" t="s">
        <v>1</v>
      </c>
      <c r="B38" s="5"/>
      <c r="C38" s="5"/>
      <c r="D38" s="5"/>
      <c r="E38" s="5"/>
      <c r="F38" s="104" t="s">
        <v>2</v>
      </c>
      <c r="G38" s="104" t="s">
        <v>4</v>
      </c>
      <c r="H38" s="104" t="s">
        <v>3</v>
      </c>
      <c r="I38" s="5"/>
    </row>
    <row r="39" spans="1:9" ht="12.75">
      <c r="A39" s="5" t="s">
        <v>47</v>
      </c>
      <c r="B39" s="5"/>
      <c r="C39" s="5"/>
      <c r="D39" s="5"/>
      <c r="E39" s="29"/>
      <c r="F39" s="105">
        <f>Farea</f>
        <v>160</v>
      </c>
      <c r="G39" s="105">
        <f>CPA</f>
        <v>125</v>
      </c>
      <c r="H39" s="105">
        <f>SDIA</f>
        <v>155</v>
      </c>
      <c r="I39" s="5"/>
    </row>
    <row r="40" spans="1:9" ht="12.75">
      <c r="A40" s="5" t="s">
        <v>80</v>
      </c>
      <c r="B40" s="5"/>
      <c r="C40" s="5"/>
      <c r="D40" s="5"/>
      <c r="E40" s="29"/>
      <c r="F40" s="105">
        <f>NCA</f>
        <v>5</v>
      </c>
      <c r="G40" s="107" t="str">
        <f>IF(MIN(F39-CPA,F39-SDIA,F39-F40,F39-(CPA-F40),F39-(SDIA+F40))&lt;0,"Error! Total field area must be greater than other areas"," ")</f>
        <v> </v>
      </c>
      <c r="H40" s="105"/>
      <c r="I40" s="5"/>
    </row>
    <row r="41" spans="1:9" ht="12.75">
      <c r="A41" s="5" t="s">
        <v>84</v>
      </c>
      <c r="B41" s="5"/>
      <c r="C41" s="5"/>
      <c r="D41" s="5"/>
      <c r="E41" s="29"/>
      <c r="F41" s="105"/>
      <c r="G41" s="105">
        <f>F39-F40-G39</f>
        <v>30</v>
      </c>
      <c r="H41" s="105">
        <f>F39-F40-H39</f>
        <v>0</v>
      </c>
      <c r="I41" s="5"/>
    </row>
    <row r="42" spans="1:9" ht="12.75">
      <c r="A42" s="5" t="s">
        <v>6</v>
      </c>
      <c r="B42" s="5"/>
      <c r="C42" s="5"/>
      <c r="D42" s="5"/>
      <c r="E42" s="5"/>
      <c r="F42" s="105"/>
      <c r="G42" s="108">
        <f>CPTC</f>
        <v>89010</v>
      </c>
      <c r="H42" s="108">
        <f>SDITC</f>
        <v>206300</v>
      </c>
      <c r="I42" s="5"/>
    </row>
    <row r="43" spans="1:9" ht="12.75">
      <c r="A43" s="5" t="s">
        <v>12</v>
      </c>
      <c r="B43" s="5"/>
      <c r="C43" s="5"/>
      <c r="D43" s="5"/>
      <c r="E43" s="5"/>
      <c r="F43" s="105"/>
      <c r="G43" s="108">
        <f>G42/G39</f>
        <v>712.08</v>
      </c>
      <c r="H43" s="108">
        <f>H42/H39</f>
        <v>1330.967741935484</v>
      </c>
      <c r="I43" s="5"/>
    </row>
    <row r="44" spans="1:9" ht="12.75">
      <c r="A44" s="5" t="s">
        <v>7</v>
      </c>
      <c r="B44" s="5"/>
      <c r="C44" s="5"/>
      <c r="D44" s="5"/>
      <c r="E44" s="109"/>
      <c r="F44" s="105"/>
      <c r="G44" s="105">
        <f>LCP</f>
        <v>25</v>
      </c>
      <c r="H44" s="105">
        <f>LSDI</f>
        <v>22</v>
      </c>
      <c r="I44" s="5"/>
    </row>
    <row r="45" spans="1:9" ht="12.75">
      <c r="A45" s="5" t="s">
        <v>37</v>
      </c>
      <c r="B45" s="5"/>
      <c r="C45" s="5"/>
      <c r="D45" s="5"/>
      <c r="E45" s="111"/>
      <c r="F45" s="112">
        <f>Intr</f>
        <v>0.06</v>
      </c>
      <c r="G45" s="105"/>
      <c r="H45" s="105"/>
      <c r="I45" s="5"/>
    </row>
    <row r="46" spans="1:9" ht="12.75">
      <c r="A46" s="5" t="s">
        <v>33</v>
      </c>
      <c r="B46" s="5"/>
      <c r="C46" s="5"/>
      <c r="D46" s="5"/>
      <c r="E46" s="5"/>
      <c r="F46" s="105"/>
      <c r="G46" s="113">
        <f>InsCP</f>
        <v>0.016</v>
      </c>
      <c r="H46" s="113">
        <f>InsSDI</f>
        <v>0.006</v>
      </c>
      <c r="I46" s="5"/>
    </row>
    <row r="47" spans="1:9" ht="15">
      <c r="A47" s="123" t="s">
        <v>5</v>
      </c>
      <c r="B47" s="5"/>
      <c r="C47" s="5"/>
      <c r="D47" s="5"/>
      <c r="E47" s="5"/>
      <c r="F47" s="105"/>
      <c r="G47" s="104"/>
      <c r="H47" s="104"/>
      <c r="I47" s="5"/>
    </row>
    <row r="48" spans="1:9" ht="12.75">
      <c r="A48" s="5" t="s">
        <v>48</v>
      </c>
      <c r="B48" s="5"/>
      <c r="C48" s="5"/>
      <c r="D48" s="5"/>
      <c r="E48" s="5"/>
      <c r="F48" s="105"/>
      <c r="G48" s="30">
        <f>CPVC</f>
        <v>589.31</v>
      </c>
      <c r="H48" s="30">
        <f>SDIVC</f>
        <v>573.62</v>
      </c>
      <c r="I48" s="5"/>
    </row>
    <row r="49" spans="1:9" ht="12.75">
      <c r="A49" s="5" t="s">
        <v>30</v>
      </c>
      <c r="B49" s="5"/>
      <c r="C49" s="5"/>
      <c r="D49" s="5"/>
      <c r="E49" s="5"/>
      <c r="F49" s="105"/>
      <c r="G49" s="107"/>
      <c r="H49" s="108">
        <f>SDIVCDif</f>
        <v>0</v>
      </c>
      <c r="I49" s="5"/>
    </row>
    <row r="50" spans="1:9" ht="15">
      <c r="A50" s="123" t="s">
        <v>9</v>
      </c>
      <c r="B50" s="114"/>
      <c r="C50" s="5"/>
      <c r="D50" s="5"/>
      <c r="E50" s="5"/>
      <c r="F50" s="105"/>
      <c r="G50" s="104"/>
      <c r="H50" s="104"/>
      <c r="I50" s="5"/>
    </row>
    <row r="51" spans="1:9" ht="12.75">
      <c r="A51" s="5" t="s">
        <v>14</v>
      </c>
      <c r="B51" s="5"/>
      <c r="C51" s="5"/>
      <c r="D51" s="5"/>
      <c r="E51" s="115"/>
      <c r="F51" s="30">
        <f>DryNR</f>
        <v>47</v>
      </c>
      <c r="G51" s="105"/>
      <c r="H51" s="105"/>
      <c r="I51" s="5"/>
    </row>
    <row r="52" ht="12.75">
      <c r="I52" s="40"/>
    </row>
    <row r="53" ht="12.75">
      <c r="I53" s="40"/>
    </row>
    <row r="54" ht="12.75">
      <c r="I54" s="40"/>
    </row>
  </sheetData>
  <sheetProtection sheet="1" objects="1" scenarios="1"/>
  <conditionalFormatting sqref="B6:H17">
    <cfRule type="cellIs" priority="1" dxfId="0" operator="lessThan" stopIfTrue="1">
      <formula>0</formula>
    </cfRule>
  </conditionalFormatting>
  <printOptions gridLines="1"/>
  <pageMargins left="0.5" right="0.5" top="0.75" bottom="0.92" header="0.5" footer="0.51"/>
  <pageSetup horizontalDpi="600" verticalDpi="600" orientation="portrait" r:id="rId2"/>
  <headerFooter alignWithMargins="0">
    <oddFooter>&amp;L&amp;F file and &amp;A tab&amp;CKSU&amp;R&amp;D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flamm</dc:creator>
  <cp:keywords/>
  <dc:description/>
  <cp:lastModifiedBy>flamm</cp:lastModifiedBy>
  <cp:lastPrinted>2018-01-25T15:59:12Z</cp:lastPrinted>
  <dcterms:created xsi:type="dcterms:W3CDTF">2002-01-11T13:51:31Z</dcterms:created>
  <dcterms:modified xsi:type="dcterms:W3CDTF">2020-01-31T14:50:40Z</dcterms:modified>
  <cp:category/>
  <cp:version/>
  <cp:contentType/>
  <cp:contentStatus/>
</cp:coreProperties>
</file>